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ETDmbqB7cm41swUZv58PDhLaiIPMWJjB0KTxf5SZJ2N1zHKKrw/PJLXsOI/8V1jbpUZbM+v4JerevgqJwwVqg==" workbookSaltValue="sgV0wmRwvQgrmQCTI70n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M12" i="11"/>
  <c r="BI15" i="11"/>
  <c r="BJ12" i="11"/>
  <c r="BG15" i="11"/>
  <c r="BK17" i="11"/>
  <c r="AP17" i="20"/>
  <c r="BU15" i="17"/>
  <c r="BW9" i="20"/>
  <c r="BW17" i="20"/>
  <c r="BV16" i="16"/>
  <c r="BW16" i="20"/>
  <c r="BV15" i="16"/>
  <c r="BW15" i="20"/>
  <c r="BU9" i="17"/>
  <c r="BV10" i="16"/>
  <c r="BU17" i="17"/>
  <c r="S11" i="17"/>
  <c r="BU12" i="17"/>
  <c r="T13" i="16"/>
  <c r="AZ16" i="11"/>
  <c r="AZ11" i="11"/>
  <c r="X17" i="17"/>
  <c r="S15" i="16"/>
  <c r="P15" i="17"/>
  <c r="BF12" i="11"/>
  <c r="BL15" i="11"/>
  <c r="BL10" i="11"/>
  <c r="BJ10" i="11"/>
  <c r="BK16" i="11"/>
  <c r="BH11" i="11"/>
  <c r="BG16" i="11"/>
  <c r="S17" i="17"/>
  <c r="BM9" i="11"/>
  <c r="BH12" i="16"/>
  <c r="BK10" i="11"/>
  <c r="T13" i="20"/>
  <c r="BF15" i="8"/>
  <c r="BF9" i="8"/>
  <c r="AU18" i="21"/>
  <c r="S15" i="17"/>
  <c r="AH13" i="16"/>
  <c r="S16" i="17"/>
  <c r="L12" i="2"/>
  <c r="L17" i="2"/>
  <c r="X15" i="16"/>
  <c r="X18" i="16" s="1"/>
  <c r="V10" i="16"/>
  <c r="AP13" i="16"/>
  <c r="V9" i="16"/>
  <c r="T18" i="17"/>
  <c r="BG15" i="13"/>
  <c r="BE16" i="13"/>
  <c r="BE15" i="13"/>
  <c r="AX20" i="20"/>
  <c r="B18" i="7" l="1"/>
  <c r="S19" i="8"/>
  <c r="AB13" i="21"/>
  <c r="AB19" i="21" s="1"/>
  <c r="BG10" i="8"/>
  <c r="C12" i="14"/>
  <c r="K12" i="14" s="1"/>
  <c r="L9" i="2"/>
  <c r="U9" i="17"/>
  <c r="U19" i="17" s="1"/>
  <c r="X10" i="21"/>
  <c r="L16" i="2"/>
  <c r="L15" i="2"/>
  <c r="L10" i="2"/>
  <c r="BL16" i="11"/>
  <c r="BJ16" i="11"/>
  <c r="AQ12" i="21"/>
  <c r="BH16" i="11"/>
  <c r="BF15" i="11"/>
  <c r="BM17" i="11"/>
  <c r="Q15" i="17"/>
  <c r="BH10" i="16"/>
  <c r="S10" i="17"/>
  <c r="AQ10" i="21"/>
  <c r="BI9" i="11"/>
  <c r="BH10" i="11"/>
  <c r="Q17" i="17"/>
  <c r="BG12" i="11"/>
  <c r="T16" i="11"/>
  <c r="AZ12" i="11"/>
  <c r="AA17" i="16"/>
  <c r="BV9" i="16"/>
  <c r="BU16" i="17"/>
  <c r="V12" i="16"/>
  <c r="BW10" i="20"/>
  <c r="U10" i="17"/>
  <c r="BW11" i="20"/>
  <c r="BV11" i="16"/>
  <c r="BW12" i="20"/>
  <c r="BV12" i="16"/>
  <c r="BU10" i="17"/>
  <c r="BV17" i="16"/>
  <c r="BU11" i="17"/>
  <c r="AZ15" i="11"/>
  <c r="AZ18" i="11" s="1"/>
  <c r="AZ9" i="11"/>
  <c r="AZ13" i="11" s="1"/>
  <c r="R17" i="20"/>
  <c r="R18" i="20" s="1"/>
  <c r="AP15" i="20"/>
  <c r="BJ15" i="11"/>
  <c r="BH9" i="11"/>
  <c r="AP10" i="21"/>
  <c r="BF10" i="11"/>
  <c r="BM16" i="11"/>
  <c r="BH11" i="16"/>
  <c r="AL16" i="11"/>
  <c r="C16" i="6"/>
  <c r="BE9" i="13"/>
  <c r="BK11" i="11"/>
  <c r="X11" i="17"/>
  <c r="BK9" i="11"/>
  <c r="BK12" i="11"/>
  <c r="P17" i="17"/>
  <c r="BG10" i="11"/>
  <c r="BL9" i="11"/>
  <c r="BF11" i="11"/>
  <c r="AZ19" i="11"/>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J20" i="11"/>
  <c r="N20" i="11"/>
  <c r="S20" i="11"/>
  <c r="AD20" i="16"/>
  <c r="BK20" i="16"/>
  <c r="AR20" i="11"/>
  <c r="AN20" i="16"/>
  <c r="O20" i="11"/>
  <c r="AS20" i="11"/>
  <c r="L20" i="17"/>
  <c r="S20" i="17"/>
  <c r="E20" i="17"/>
  <c r="BE20" i="16"/>
  <c r="M20" i="11"/>
  <c r="J20" i="12"/>
  <c r="AL20" i="16"/>
  <c r="AO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AT20" i="17"/>
  <c r="J20" i="17"/>
  <c r="AJ20" i="17"/>
  <c r="AR20" i="20"/>
  <c r="M20" i="21"/>
  <c r="F20" i="21"/>
  <c r="E20" i="16"/>
  <c r="P20" i="21"/>
  <c r="AJ20" i="16"/>
  <c r="AB20" i="21"/>
  <c r="F20" i="16"/>
  <c r="AV20" i="11"/>
  <c r="K20" i="17"/>
  <c r="P20" i="11"/>
  <c r="AB20" i="16"/>
  <c r="BJ20" i="16"/>
  <c r="U20" i="11"/>
  <c r="AC20" i="11"/>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<sst xmlns="http://schemas.openxmlformats.org/spreadsheetml/2006/main" count="2102" uniqueCount="918">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</sst>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W/JKmfVAImKar0/gn04dBb/QSgPQIqWnMyUx0v62d1CPq2egqYBqqIEa4novamHvmkQr98hh/E95/nnF6dyMw==" saltValue="WWNDj8FZau8pMN8G29TJ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v>
      </c>
      <c r="D10" s="225">
        <f>IF(ISNUMBER(Datos!I10),Datos!I10," - ")</f>
        <v>8</v>
      </c>
      <c r="E10" s="226">
        <f>IF(ISNUMBER(Datos!J10),Datos!J10," - ")</f>
        <v>1</v>
      </c>
      <c r="F10" s="226">
        <f>IF(ISNUMBER(Datos!K10),Datos!K10," - ")</f>
        <v>1</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73.676012461059187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v>
      </c>
      <c r="D13" s="1049">
        <f>SUBTOTAL(9,D9:D12)</f>
        <v>8</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2364</v>
      </c>
      <c r="D16" s="225">
        <f>IF(ISNUMBER(IF(D_I="SI",Datos!I16,Datos!I16+Datos!AC16)),IF(D_I="SI",Datos!I16,Datos!I16+Datos!AC16)," - ")</f>
        <v>2364</v>
      </c>
      <c r="E16" s="226">
        <f>IF(ISNUMBER(IF(D_I="SI",Datos!J16,Datos!J16+Datos!AD16)),IF(D_I="SI",Datos!J16,Datos!J16+Datos!AD16)," - ")</f>
        <v>741</v>
      </c>
      <c r="F16" s="226">
        <f>IF(ISNUMBER(IF(D_I="SI",Datos!K16,Datos!K16+Datos!AE16)),IF(D_I="SI",Datos!K16,Datos!K16+Datos!AE16)," - ")</f>
        <v>385</v>
      </c>
      <c r="G16" s="1034" t="str">
        <f>IF(Datos!E16&lt;&gt;"",Datos!E16,Datos!D16)</f>
        <v>04</v>
      </c>
      <c r="H16" s="227">
        <f>IF(ISNUMBER(IF(D_I="SI",Datos!L16,Datos!L16+Datos!AF16)),IF(D_I="SI",Datos!L16,Datos!L16+Datos!AF16)," - ")</f>
        <v>2720</v>
      </c>
      <c r="I16" s="1044" t="str">
        <f>IF(ISNUMBER(Datos!AS16/Datos!BM16),Datos!AS16/Datos!BM16," - ")</f>
        <v xml:space="preserve"> - </v>
      </c>
      <c r="J16" s="1045">
        <f>IF(ISNUMBER(Datos!BY16/Datos!CN16),Datos!BY16/Datos!CN16," - ")</f>
        <v>0</v>
      </c>
      <c r="K16" s="230">
        <f t="shared" si="3"/>
        <v>0.15059221658206429</v>
      </c>
      <c r="L16" s="1025">
        <f>IF(ISNUMBER(NºAsuntos!I16/NºAsuntos!G16),(NºAsuntos!I16/NºAsuntos!G16)*11," - ")</f>
        <v>77.714285714285708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72</v>
      </c>
      <c r="D17" s="225">
        <f>IF(ISNUMBER(IF(D_I="SI",Datos!I17,Datos!I17+Datos!AC17)),IF(D_I="SI",Datos!I17,Datos!I17+Datos!AC17)," - ")</f>
        <v>72</v>
      </c>
      <c r="E17" s="226">
        <f>IF(ISNUMBER(IF(D_I="SI",Datos!J17,Datos!J17+Datos!AD17)),IF(D_I="SI",Datos!J17,Datos!J17+Datos!AD17)," - ")</f>
        <v>0</v>
      </c>
      <c r="F17" s="226">
        <f>IF(ISNUMBER(IF(D_I="SI",Datos!K17,Datos!K17+Datos!AE17)),IF(D_I="SI",Datos!K17,Datos!K17+Datos!AE17)," - ")</f>
        <v>5</v>
      </c>
      <c r="G17" s="1034" t="str">
        <f>IF(Datos!E17&lt;&gt;"",Datos!E17,Datos!D17)</f>
        <v>37</v>
      </c>
      <c r="H17" s="227">
        <f>IF(ISNUMBER(IF(D_I="SI",Datos!L17,Datos!L17+Datos!AF17)),IF(D_I="SI",Datos!L17,Datos!L17+Datos!AF17)," - ")</f>
        <v>67</v>
      </c>
      <c r="I17" s="1044" t="str">
        <f>IF(ISNUMBER(Datos!AS17/Datos!BM17),Datos!AS17/Datos!BM17," - ")</f>
        <v xml:space="preserve"> - </v>
      </c>
      <c r="J17" s="1045" t="str">
        <f>IF(ISNUMBER((Datos!BY17+Datos!BZ17)/Datos!CN17),(Datos!BY17+Datos!BZ17)/Datos!CN17," - ")</f>
        <v xml:space="preserve"> - </v>
      </c>
      <c r="K17" s="230">
        <f t="shared" si="3"/>
        <v>-6.9444444444444448E-2</v>
      </c>
      <c r="L17" s="1025">
        <f>IF(ISNUMBER(NºAsuntos!I17/NºAsuntos!G17),(NºAsuntos!I17/NºAsuntos!G17)*11," - ")</f>
        <v>147.4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2436</v>
      </c>
      <c r="D18" s="1049">
        <f>SUBTOTAL(9,D15:D17)</f>
        <v>2436</v>
      </c>
      <c r="E18" s="1050">
        <f>SUBTOTAL(9,E15:E17)</f>
        <v>741</v>
      </c>
      <c r="F18" s="1050">
        <f>SUBTOTAL(9,F15:F17)</f>
        <v>390</v>
      </c>
      <c r="G18" s="1052" t="str">
        <f ca="1">INDIRECT(CONCATENATE("G",ROW()-1))</f>
        <v>37</v>
      </c>
      <c r="H18" s="1053">
        <f ca="1">SUMIF(G$14:G17,G18,H$14:H17)</f>
        <v>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2444</v>
      </c>
      <c r="D19" s="1071">
        <f>SUBTOTAL(9,D9:D18)</f>
        <v>2444</v>
      </c>
      <c r="E19" s="1072">
        <f>SUBTOTAL(9,E9:E18)</f>
        <v>742</v>
      </c>
      <c r="F19" s="1072">
        <f>SUBTOTAL(9,F9:F18)</f>
        <v>391</v>
      </c>
      <c r="G19" s="1073"/>
      <c r="H19" s="1074">
        <f ca="1">SUMIF(B9:B18,"TOTAL",H9:H18)</f>
        <v>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EC2moCNAZzWFFXsi72rQO6pWCKpV0cDqU64MSsynCmv9mlCFr37cjqMNOWNNn6hJJUzVm34ue7c/LCBgrT2NQ==" saltValue="HaZcuIAhfZECUgHiyfO0A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tBQnNDZnX+G5BsqMMwhunEuc6/UiMgyEc7SlSsGTpyGkbvcrjw8tNgy5FUWvQOrzOomBUa006DyY311eQsnwg==" saltValue="8z9RyvCgBgpFMO3sIzWU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v>
      </c>
      <c r="J10" s="181">
        <v>1</v>
      </c>
      <c r="K10" s="181">
        <v>1</v>
      </c>
      <c r="L10" s="181">
        <v>8</v>
      </c>
      <c r="M10" s="181">
        <v>1</v>
      </c>
      <c r="N10" s="181">
        <v>0</v>
      </c>
      <c r="O10" s="181">
        <v>0</v>
      </c>
      <c r="P10" s="181">
        <v>0</v>
      </c>
      <c r="Q10" s="181">
        <v>0</v>
      </c>
      <c r="R10" s="181">
        <v>1</v>
      </c>
      <c r="S10" s="181">
        <v>5</v>
      </c>
      <c r="T10" s="181">
        <v>0</v>
      </c>
      <c r="U10" s="181">
        <v>0</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0</v>
      </c>
      <c r="BA10" s="129">
        <f t="shared" si="0"/>
        <v>0</v>
      </c>
      <c r="BB10" s="129">
        <f t="shared" si="0"/>
        <v>5</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6098</v>
      </c>
      <c r="J12" s="183">
        <v>1027</v>
      </c>
      <c r="K12" s="183">
        <v>924</v>
      </c>
      <c r="L12" s="183">
        <v>6201</v>
      </c>
      <c r="M12" s="183">
        <v>107</v>
      </c>
      <c r="N12" s="183">
        <v>276</v>
      </c>
      <c r="O12" s="181">
        <v>395</v>
      </c>
      <c r="P12" s="183">
        <v>177</v>
      </c>
      <c r="Q12" s="183">
        <v>173</v>
      </c>
      <c r="R12" s="183">
        <v>5950</v>
      </c>
      <c r="S12" s="183">
        <v>4748</v>
      </c>
      <c r="T12" s="183">
        <v>1150</v>
      </c>
      <c r="U12" s="183">
        <v>859</v>
      </c>
      <c r="V12" s="183">
        <v>5039</v>
      </c>
      <c r="W12" s="183">
        <v>210</v>
      </c>
      <c r="X12" s="189">
        <v>168</v>
      </c>
      <c r="Y12" s="191">
        <v>215</v>
      </c>
      <c r="Z12" s="181">
        <v>73</v>
      </c>
      <c r="AA12" s="181">
        <v>39</v>
      </c>
      <c r="AB12" s="181">
        <v>249</v>
      </c>
      <c r="AC12" s="183">
        <v>0</v>
      </c>
      <c r="AD12" s="183">
        <v>0</v>
      </c>
      <c r="AE12" s="183">
        <v>0</v>
      </c>
      <c r="AF12" s="189">
        <v>0</v>
      </c>
      <c r="AG12" s="202">
        <v>195</v>
      </c>
      <c r="AH12" s="183">
        <v>86</v>
      </c>
      <c r="AI12" s="183">
        <v>120</v>
      </c>
      <c r="AJ12" s="203">
        <v>161</v>
      </c>
      <c r="AK12" s="182">
        <v>0</v>
      </c>
      <c r="AL12" s="183">
        <v>0</v>
      </c>
      <c r="AM12" s="183">
        <v>0</v>
      </c>
      <c r="AN12" s="189">
        <v>0</v>
      </c>
      <c r="AO12" s="259">
        <v>4</v>
      </c>
      <c r="AP12" s="155">
        <v>4</v>
      </c>
      <c r="AQ12" s="155">
        <v>4</v>
      </c>
      <c r="AR12" s="154">
        <v>4</v>
      </c>
      <c r="AS12" s="340" t="s">
        <v>802</v>
      </c>
      <c r="AT12" s="203"/>
      <c r="AU12" s="202"/>
      <c r="AV12" s="203"/>
      <c r="AW12" s="202"/>
      <c r="AX12" s="203"/>
      <c r="AY12" s="126">
        <f t="shared" si="1"/>
        <v>4943</v>
      </c>
      <c r="AZ12" s="127">
        <f t="shared" si="1"/>
        <v>1236</v>
      </c>
      <c r="BA12" s="127">
        <f t="shared" si="1"/>
        <v>979</v>
      </c>
      <c r="BB12" s="127">
        <f t="shared" si="1"/>
        <v>5200</v>
      </c>
      <c r="BC12" s="125">
        <f>IF(ISNUMBER(X12),X12," - ")</f>
        <v>168</v>
      </c>
      <c r="BD12" s="126">
        <f t="shared" si="2"/>
        <v>0.79207119741100329</v>
      </c>
      <c r="BE12" s="127">
        <f t="shared" si="3"/>
        <v>5.3115423901940755</v>
      </c>
      <c r="BF12" s="127">
        <f t="shared" si="4"/>
        <v>0.17160367722165476</v>
      </c>
      <c r="BG12" s="196">
        <f t="shared" si="5"/>
        <v>6.3115423901940755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6106</v>
      </c>
      <c r="J13" s="184">
        <f t="shared" si="6"/>
        <v>1028</v>
      </c>
      <c r="K13" s="184">
        <f t="shared" si="6"/>
        <v>925</v>
      </c>
      <c r="L13" s="184">
        <f t="shared" si="6"/>
        <v>6209</v>
      </c>
      <c r="M13" s="184">
        <f t="shared" si="6"/>
        <v>108</v>
      </c>
      <c r="N13" s="184">
        <f t="shared" si="6"/>
        <v>276</v>
      </c>
      <c r="O13" s="184">
        <f t="shared" si="6"/>
        <v>395</v>
      </c>
      <c r="P13" s="184">
        <f t="shared" si="6"/>
        <v>177</v>
      </c>
      <c r="Q13" s="184">
        <f t="shared" si="6"/>
        <v>173</v>
      </c>
      <c r="R13" s="184">
        <f t="shared" si="6"/>
        <v>5951</v>
      </c>
      <c r="S13" s="184">
        <f t="shared" si="6"/>
        <v>4753</v>
      </c>
      <c r="T13" s="184">
        <f t="shared" si="6"/>
        <v>1150</v>
      </c>
      <c r="U13" s="184">
        <f t="shared" si="6"/>
        <v>859</v>
      </c>
      <c r="V13" s="184">
        <f t="shared" si="6"/>
        <v>5044</v>
      </c>
      <c r="W13" s="184">
        <f t="shared" si="6"/>
        <v>210</v>
      </c>
      <c r="X13" s="184">
        <f t="shared" si="6"/>
        <v>168</v>
      </c>
      <c r="Y13" s="184">
        <f t="shared" si="6"/>
        <v>215</v>
      </c>
      <c r="Z13" s="184">
        <f t="shared" si="6"/>
        <v>73</v>
      </c>
      <c r="AA13" s="184">
        <f t="shared" si="6"/>
        <v>39</v>
      </c>
      <c r="AB13" s="184">
        <f t="shared" si="6"/>
        <v>249</v>
      </c>
      <c r="AC13" s="184">
        <f t="shared" si="6"/>
        <v>0</v>
      </c>
      <c r="AD13" s="184">
        <f t="shared" si="6"/>
        <v>0</v>
      </c>
      <c r="AE13" s="184">
        <f t="shared" si="6"/>
        <v>0</v>
      </c>
      <c r="AF13" s="184">
        <f>SUBTOTAL(9,AF9:AF12)</f>
        <v>0</v>
      </c>
      <c r="AG13" s="184">
        <f t="shared" ref="AG13:AT13" si="7">SUBTOTAL(9,AG8:AG12)</f>
        <v>195</v>
      </c>
      <c r="AH13" s="184">
        <f t="shared" si="7"/>
        <v>86</v>
      </c>
      <c r="AI13" s="184">
        <f t="shared" si="7"/>
        <v>120</v>
      </c>
      <c r="AJ13" s="184">
        <f t="shared" si="7"/>
        <v>161</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4948</v>
      </c>
      <c r="AZ13" s="184">
        <f>SUBTOTAL(9,AZ8:AZ12)</f>
        <v>1236</v>
      </c>
      <c r="BA13" s="184">
        <f>SUBTOTAL(9,BA8:BA12)</f>
        <v>979</v>
      </c>
      <c r="BB13" s="184">
        <f>SUBTOTAL(9,BB8:BB12)</f>
        <v>5205</v>
      </c>
      <c r="BC13" s="184">
        <f>SUBTOTAL(9,BC8:BC12)</f>
        <v>168</v>
      </c>
      <c r="BD13" s="205">
        <f>IF(ISNUMBER(BA13/AZ13),BA13/AZ13," - ")</f>
        <v>0.79207119741100329</v>
      </c>
      <c r="BE13" s="206">
        <f>IF(ISNUMBER(BB13/BA13),BB13/BA13, " - ")</f>
        <v>5.3166496424923393</v>
      </c>
      <c r="BF13" s="206">
        <f>IF(ISNUMBER(BC13/BA13),BC13/BA13, " - ")</f>
        <v>0.17160367722165476</v>
      </c>
      <c r="BG13" s="207">
        <f>IF(ISNUMBER((AY13+AZ13)/BA13),(AY13+AZ13)/BA13," - ")</f>
        <v>6.3166496424923393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2364</v>
      </c>
      <c r="J16" s="183">
        <v>741</v>
      </c>
      <c r="K16" s="183">
        <v>385</v>
      </c>
      <c r="L16" s="183">
        <v>2720</v>
      </c>
      <c r="M16" s="183">
        <v>69</v>
      </c>
      <c r="N16" s="183">
        <v>181</v>
      </c>
      <c r="O16" s="181">
        <v>11</v>
      </c>
      <c r="P16" s="183">
        <v>17</v>
      </c>
      <c r="Q16" s="183">
        <v>13</v>
      </c>
      <c r="R16" s="183">
        <v>197</v>
      </c>
      <c r="S16" s="183">
        <v>1536</v>
      </c>
      <c r="T16" s="183">
        <v>871</v>
      </c>
      <c r="U16" s="183">
        <v>782</v>
      </c>
      <c r="V16" s="183">
        <v>1625</v>
      </c>
      <c r="W16" s="183">
        <v>107</v>
      </c>
      <c r="X16" s="189">
        <v>467</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0</v>
      </c>
      <c r="AN16" s="189">
        <v>1</v>
      </c>
      <c r="AO16" s="259">
        <v>4</v>
      </c>
      <c r="AP16" s="155">
        <v>4</v>
      </c>
      <c r="AQ16" s="155">
        <v>4</v>
      </c>
      <c r="AR16" s="155">
        <v>4</v>
      </c>
      <c r="AS16" s="340" t="s">
        <v>487</v>
      </c>
      <c r="AT16" s="203"/>
      <c r="AU16" s="202"/>
      <c r="AV16" s="203"/>
      <c r="AW16" s="202"/>
      <c r="AX16" s="203"/>
      <c r="AY16" s="126">
        <f t="shared" si="9"/>
        <v>1536</v>
      </c>
      <c r="AZ16" s="127">
        <f t="shared" si="9"/>
        <v>871</v>
      </c>
      <c r="BA16" s="127">
        <f t="shared" si="9"/>
        <v>782</v>
      </c>
      <c r="BB16" s="127">
        <f t="shared" si="9"/>
        <v>1625</v>
      </c>
      <c r="BC16" s="125">
        <f>IF(ISNUMBER(W16),W16," - ")</f>
        <v>107</v>
      </c>
      <c r="BD16" s="126">
        <f t="shared" ref="BD16" si="11">IF(ISNUMBER(BA16/AZ16),BA16/AZ16," - ")</f>
        <v>0.89781859931113661</v>
      </c>
      <c r="BE16" s="127">
        <f t="shared" ref="BE16" si="12">IF(ISNUMBER(BB16/BA16),BB16/BA16, " - ")</f>
        <v>2.078005115089514</v>
      </c>
      <c r="BF16" s="127">
        <f t="shared" ref="BF16" si="13">IF(ISNUMBER(BC16/BA16),BC16/BA16, " - ")</f>
        <v>0.13682864450127877</v>
      </c>
      <c r="BG16" s="196">
        <f t="shared" si="10"/>
        <v>3.078005115089514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72</v>
      </c>
      <c r="J17" s="183">
        <v>0</v>
      </c>
      <c r="K17" s="183">
        <v>5</v>
      </c>
      <c r="L17" s="183">
        <v>67</v>
      </c>
      <c r="M17" s="183">
        <v>1</v>
      </c>
      <c r="N17" s="183">
        <v>0</v>
      </c>
      <c r="O17" s="183">
        <v>0</v>
      </c>
      <c r="P17" s="183">
        <v>0</v>
      </c>
      <c r="Q17" s="183">
        <v>0</v>
      </c>
      <c r="R17" s="183">
        <v>0</v>
      </c>
      <c r="S17" s="183">
        <v>88</v>
      </c>
      <c r="T17" s="183">
        <v>0</v>
      </c>
      <c r="U17" s="183">
        <v>5</v>
      </c>
      <c r="V17" s="183">
        <v>83</v>
      </c>
      <c r="W17" s="183">
        <v>3</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88</v>
      </c>
      <c r="AZ17" s="129">
        <f t="shared" si="14"/>
        <v>0</v>
      </c>
      <c r="BA17" s="129">
        <f t="shared" si="14"/>
        <v>5</v>
      </c>
      <c r="BB17" s="129">
        <f t="shared" si="14"/>
        <v>83</v>
      </c>
      <c r="BC17" s="125">
        <f>IF(ISNUMBER(W17),W17," - ")</f>
        <v>3</v>
      </c>
      <c r="BD17" s="126" t="str">
        <f>IF(ISNUMBER(BA17/AZ17),BA17/AZ17," - ")</f>
        <v xml:space="preserve"> - </v>
      </c>
      <c r="BE17" s="127">
        <f>IF(ISNUMBER(BB17/BA17),BB17/BA17, " - ")</f>
        <v>16.600000000000001</v>
      </c>
      <c r="BF17" s="127">
        <f>IF(ISNUMBER(BC17/BA17),BC17/BA17, " - ")</f>
        <v>0.6</v>
      </c>
      <c r="BG17" s="196">
        <f>IF(ISNUMBER((AY17+AZ17)/BA17),(AY17+AZ17)/BA17," - ")</f>
        <v>17.600000000000001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2436</v>
      </c>
      <c r="J18" s="184">
        <f t="shared" si="15"/>
        <v>741</v>
      </c>
      <c r="K18" s="184">
        <f t="shared" si="15"/>
        <v>390</v>
      </c>
      <c r="L18" s="184">
        <f t="shared" si="15"/>
        <v>2787</v>
      </c>
      <c r="M18" s="184">
        <f t="shared" si="15"/>
        <v>70</v>
      </c>
      <c r="N18" s="184">
        <f t="shared" si="15"/>
        <v>181</v>
      </c>
      <c r="O18" s="184">
        <f t="shared" si="15"/>
        <v>11</v>
      </c>
      <c r="P18" s="184">
        <f t="shared" si="15"/>
        <v>17</v>
      </c>
      <c r="Q18" s="184">
        <f t="shared" si="15"/>
        <v>13</v>
      </c>
      <c r="R18" s="184">
        <f t="shared" si="15"/>
        <v>197</v>
      </c>
      <c r="S18" s="184">
        <f t="shared" si="15"/>
        <v>1624</v>
      </c>
      <c r="T18" s="184">
        <f t="shared" si="15"/>
        <v>871</v>
      </c>
      <c r="U18" s="184">
        <f t="shared" si="15"/>
        <v>787</v>
      </c>
      <c r="V18" s="184">
        <f t="shared" si="15"/>
        <v>1708</v>
      </c>
      <c r="W18" s="184">
        <f t="shared" si="15"/>
        <v>110</v>
      </c>
      <c r="X18" s="184">
        <f t="shared" si="15"/>
        <v>469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1624</v>
      </c>
      <c r="AZ18" s="184">
        <f>SUBTOTAL(9,AZ14:AZ17)</f>
        <v>871</v>
      </c>
      <c r="BA18" s="184">
        <f>SUBTOTAL(9,BA14:BA17)</f>
        <v>787</v>
      </c>
      <c r="BB18" s="184">
        <f>SUBTOTAL(9,BB14:BB17)</f>
        <v>1708</v>
      </c>
      <c r="BC18" s="184">
        <f>SUBTOTAL(9,BC14:BC17)</f>
        <v>110</v>
      </c>
      <c r="BD18" s="205">
        <f>IF(ISNUMBER(BA18/AZ18),BA18/AZ18," - ")</f>
        <v>0.90355912743972444</v>
      </c>
      <c r="BE18" s="206">
        <f>IF(ISNUMBER(BB18/BA18),BB18/BA18, " - ")</f>
        <v>2.1702668360864039</v>
      </c>
      <c r="BF18" s="206">
        <f>IF(ISNUMBER(BC18/BA18),BC18/BA18, " - ")</f>
        <v>0.13977128335451081</v>
      </c>
      <c r="BG18" s="207">
        <f>IF(ISNUMBER((AY18+AZ18)/BA18),(AY18+AZ18)/BA18," - ")</f>
        <v>3.1702668360864039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8542</v>
      </c>
      <c r="J19" s="134">
        <f t="shared" si="18"/>
        <v>1769</v>
      </c>
      <c r="K19" s="134">
        <f t="shared" si="18"/>
        <v>1315</v>
      </c>
      <c r="L19" s="134">
        <f t="shared" si="18"/>
        <v>8996</v>
      </c>
      <c r="M19" s="134">
        <f t="shared" si="18"/>
        <v>178</v>
      </c>
      <c r="N19" s="134">
        <f t="shared" si="18"/>
        <v>457</v>
      </c>
      <c r="O19" s="134">
        <f t="shared" si="18"/>
        <v>406</v>
      </c>
      <c r="P19" s="134">
        <f t="shared" si="18"/>
        <v>194</v>
      </c>
      <c r="Q19" s="134">
        <f t="shared" si="18"/>
        <v>186</v>
      </c>
      <c r="R19" s="134">
        <f t="shared" si="18"/>
        <v>6148</v>
      </c>
      <c r="S19" s="134">
        <f t="shared" si="18"/>
        <v>6377</v>
      </c>
      <c r="T19" s="134">
        <f t="shared" si="18"/>
        <v>2021</v>
      </c>
      <c r="U19" s="134">
        <f t="shared" si="18"/>
        <v>1646</v>
      </c>
      <c r="V19" s="134">
        <f t="shared" si="18"/>
        <v>6752</v>
      </c>
      <c r="W19" s="134">
        <f t="shared" si="18"/>
        <v>320</v>
      </c>
      <c r="X19" s="134">
        <f t="shared" si="18"/>
        <v>637</v>
      </c>
      <c r="Y19" s="134">
        <f t="shared" si="18"/>
        <v>215</v>
      </c>
      <c r="Z19" s="134">
        <f t="shared" si="18"/>
        <v>73</v>
      </c>
      <c r="AA19" s="134">
        <f t="shared" si="18"/>
        <v>39</v>
      </c>
      <c r="AB19" s="134">
        <f t="shared" si="18"/>
        <v>249</v>
      </c>
      <c r="AC19" s="134">
        <f t="shared" si="18"/>
        <v>0</v>
      </c>
      <c r="AD19" s="134">
        <f t="shared" si="18"/>
        <v>0</v>
      </c>
      <c r="AE19" s="134">
        <f t="shared" si="18"/>
        <v>0</v>
      </c>
      <c r="AF19" s="134">
        <f t="shared" si="18"/>
        <v>0</v>
      </c>
      <c r="AG19" s="134">
        <f t="shared" si="18"/>
        <v>195</v>
      </c>
      <c r="AH19" s="134">
        <f t="shared" si="18"/>
        <v>86</v>
      </c>
      <c r="AI19" s="134">
        <f t="shared" si="18"/>
        <v>120</v>
      </c>
      <c r="AJ19" s="134">
        <f t="shared" si="18"/>
        <v>161</v>
      </c>
      <c r="AK19" s="134">
        <f t="shared" si="18"/>
        <v>1</v>
      </c>
      <c r="AL19" s="134">
        <f t="shared" si="18"/>
        <v>0</v>
      </c>
      <c r="AM19" s="134">
        <f t="shared" si="18"/>
        <v>0</v>
      </c>
      <c r="AN19" s="210">
        <f t="shared" si="18"/>
        <v>1</v>
      </c>
      <c r="AO19" s="211">
        <v>5</v>
      </c>
      <c r="AP19" s="211">
        <v>4</v>
      </c>
      <c r="AQ19" s="211">
        <v>4</v>
      </c>
      <c r="AR19" s="211">
        <v>4</v>
      </c>
      <c r="AS19" s="153">
        <f t="shared" si="18"/>
        <v>0</v>
      </c>
      <c r="AT19" s="153">
        <f t="shared" si="18"/>
        <v>0</v>
      </c>
      <c r="AU19" s="211"/>
      <c r="AV19" s="212"/>
      <c r="AW19" s="211"/>
      <c r="AX19" s="212"/>
      <c r="AY19" s="133">
        <f>SUBTOTAL(9,AY9:AY18)</f>
        <v>6572</v>
      </c>
      <c r="AZ19" s="134">
        <f>SUBTOTAL(9,AZ9:AZ18)</f>
        <v>2107</v>
      </c>
      <c r="BA19" s="134">
        <f>SUBTOTAL(9,BA9:BA18)</f>
        <v>1766</v>
      </c>
      <c r="BB19" s="134">
        <f>SUBTOTAL(9,BB9:BB18)</f>
        <v>6913</v>
      </c>
      <c r="BC19" s="135">
        <f>SUBTOTAL(9,BC9:BC18)</f>
        <v>278</v>
      </c>
      <c r="BD19" s="213">
        <f>IF(ISNUMBER(BA19/AZ19),BA19/AZ19," - ")</f>
        <v>0.8381585192216422</v>
      </c>
      <c r="BE19" s="210">
        <f>IF(ISNUMBER(BB19/BA19),BB19/BA19, " - ")</f>
        <v>3.9144960362400907</v>
      </c>
      <c r="BF19" s="210">
        <f>IF(ISNUMBER(BC19/BA19),BC19/BA19, " - ")</f>
        <v>0.15741789354473387</v>
      </c>
      <c r="BG19" s="135">
        <f>IF(ISNUMBER((AY19+AZ19)/BA19),(AY19+AZ19)/BA19," - ")</f>
        <v>4.9144960362400907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N9UPzmNx4kCU/IUTkg9DazRdvC5oDPeRFxAJAl+8JC3dnbTUvPkLLt9gA+CEAcNzyTjJuM9ODrvMYiM8ygx8Q==" saltValue="FmfjP5GI8ptBXPZu4NhJ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A9HQYZFuS9ewu4D1hQAYvYPrihrwfiATeyxfmy3IDm7x6TaDxlCpsb1G3cUVu4S2FbjnPccLlaqJDL5H2iPQ==" saltValue="oEozx7F3SFd5meJHpfBMf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VILLAJOYOSA-VILA JOIOSA,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8</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73</v>
      </c>
      <c r="O12" s="334"/>
      <c r="P12" s="334"/>
      <c r="Q12" s="226">
        <f>IF(ISNUMBER(Datos!P12),Datos!P12,0)</f>
        <v>177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249</v>
      </c>
      <c r="AI12" s="334" t="str">
        <f>IF(ISNUMBER(Datos!CD12),Datos!CD12,"-")</f>
        <v>-</v>
      </c>
      <c r="AJ12" s="334" t="str">
        <f>IF(ISNUMBER(Datos!EN12),Datos!EN12," - ")</f>
        <v xml:space="preserve"> - </v>
      </c>
      <c r="AK12" s="334"/>
      <c r="AL12" s="479"/>
      <c r="AM12" s="335">
        <f>IF(ISNUMBER(Datos!R12),Datos!R12," - ")</f>
        <v>5950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107</v>
      </c>
      <c r="BD12" s="229">
        <f>IF(ISNUMBER(Datos!N12),Datos!N12," - ")</f>
        <v>276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0.87545454545454549</v>
      </c>
      <c r="BH12" s="260">
        <f>IF(ISNUMBER(((IF(J_V="SI",Datos!L12/Datos!K12,(Datos!L12+Datos!AB12)/(Datos!K12+Datos!AA12)))*11)/factor_trimestre),((IF(J_V="SI",Datos!L12/Datos!K12,(Datos!L12+Datos!AB12)/(Datos!K12+Datos!AA12)))*11)/factor_trimestre," - ")</f>
        <v>20.093457943925234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6.7272115708039018E-4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73</v>
      </c>
      <c r="O13" s="900">
        <f t="shared" si="0"/>
        <v>0</v>
      </c>
      <c r="P13" s="900">
        <f t="shared" si="0"/>
        <v>0</v>
      </c>
      <c r="Q13" s="899">
        <f t="shared" si="0"/>
        <v>177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173</v>
      </c>
      <c r="AD13" s="899">
        <f t="shared" si="1"/>
        <v>0</v>
      </c>
      <c r="AE13" s="899">
        <f t="shared" si="1"/>
        <v>0</v>
      </c>
      <c r="AF13" s="899">
        <f t="shared" si="1"/>
        <v>8</v>
      </c>
      <c r="AG13" s="899">
        <f t="shared" si="1"/>
        <v>0</v>
      </c>
      <c r="AH13" s="899">
        <f t="shared" si="1"/>
        <v>249</v>
      </c>
      <c r="AI13" s="899">
        <f t="shared" si="1"/>
        <v>0</v>
      </c>
      <c r="AJ13" s="899">
        <f t="shared" si="1"/>
        <v>0</v>
      </c>
      <c r="AK13" s="899">
        <f t="shared" si="1"/>
        <v>0</v>
      </c>
      <c r="AL13" s="899">
        <f t="shared" si="1"/>
        <v>0</v>
      </c>
      <c r="AM13" s="899">
        <f t="shared" si="1"/>
        <v>5951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108</v>
      </c>
      <c r="BD13" s="899">
        <f t="shared" si="1"/>
        <v>276</v>
      </c>
      <c r="BE13" s="899">
        <f t="shared" si="1"/>
        <v>0</v>
      </c>
      <c r="BF13" s="899">
        <f t="shared" si="1"/>
        <v>0</v>
      </c>
      <c r="BG13" s="899">
        <f>IF(ISNUMBER(Datos!K13/Datos!J13),Datos!K13/Datos!J13," - ")</f>
        <v>0.89980544747081714</v>
      </c>
      <c r="BH13" s="903">
        <f>IF(ISNUMBER(((Datos!L13/Datos!K13)*11)/factor_trimestre),((Datos!L13/Datos!K13)*11)/factor_trimestre," - ")</f>
        <v>20.137297297297298</v>
      </c>
      <c r="BI13" s="899">
        <f>IF(ISNUMBER('Resol  Asuntos'!D13/NºAsuntos!G13),'Resol  Asuntos'!D13/NºAsuntos!G13," - ")</f>
        <v>0.11203319502074689</v>
      </c>
      <c r="BJ13" s="899" t="str">
        <f>IF(ISNUMBER(Datos!CI13/Datos!CJ13),Datos!CI13/Datos!CJ13," - ")</f>
        <v xml:space="preserve"> - </v>
      </c>
      <c r="BK13" s="899">
        <f>SUBTOTAL(9,BK8:BK12)</f>
        <v>0</v>
      </c>
      <c r="BL13" s="899">
        <f>IF(ISNUMBER((I13-AB13+L13)/(F13)),(I13-AB13+L13)/(F13)," - ")</f>
        <v>-0.125</v>
      </c>
      <c r="BM13" s="904">
        <f>SUBTOTAL(9,BM9:BM12)</f>
        <v>6.7272115708039018E-4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2364</v>
      </c>
      <c r="G16" s="598">
        <f>IF(ISNUMBER(IF(D_I="SI",Datos!I16,Datos!I16+Datos!AC16)),IF(D_I="SI",Datos!I16,Datos!I16+Datos!AC16)," - ")</f>
        <v>2364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385</v>
      </c>
      <c r="AC16" s="226">
        <f>IF(ISNUMBER(Datos!Q16),Datos!Q16," - ")</f>
        <v>13</v>
      </c>
      <c r="AD16" s="334"/>
      <c r="AE16" s="484"/>
      <c r="AF16" s="596">
        <f>IF(ISNUMBER(IF(D_I="SI",Datos!L16,Datos!L16+Datos!AF16)),IF(D_I="SI",Datos!L16,Datos!L16+Datos!AF16)," - ")</f>
        <v>2720</v>
      </c>
      <c r="AG16" s="334"/>
      <c r="AH16" s="334"/>
      <c r="AI16" s="334"/>
      <c r="AJ16" s="334"/>
      <c r="AK16" s="334"/>
      <c r="AL16" s="479"/>
      <c r="AM16" s="335">
        <f>IF(ISNUMBER(Datos!R16),Datos!R16," - ")</f>
        <v>197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69</v>
      </c>
      <c r="BD16" s="229">
        <f>IF(ISNUMBER(Datos!N16),Datos!N16," - ")</f>
        <v>181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0.51956815114709853</v>
      </c>
      <c r="BH16" s="260">
        <f>IF(ISNUMBER(((IF(D_I="SI",Datos!L16/Datos!K16,(Datos!L16+Datos!AF16)/(Datos!K16+Datos!AE16)))*11)/factor_trimestre),((IF(D_I="SI",Datos!L16/Datos!K16,(Datos!L16+Datos!AF16)/(Datos!K16+Datos!AE16)))*11)/factor_trimestre," - ")</f>
        <v>21.194805194805195</v>
      </c>
      <c r="BI16" s="243">
        <f>IF(ISNUMBER('Resol  Asuntos'!D16/NºAsuntos!G16),'Resol  Asuntos'!D16/NºAsuntos!G16," - ")</f>
        <v>0.17922077922077922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67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40.200000000000003</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2364</v>
      </c>
      <c r="G18" s="898">
        <f>SUBTOTAL(9,G15:G17)</f>
        <v>2436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390</v>
      </c>
      <c r="AC18" s="899">
        <f t="shared" si="4"/>
        <v>13</v>
      </c>
      <c r="AD18" s="899">
        <f t="shared" si="4"/>
        <v>0</v>
      </c>
      <c r="AE18" s="899">
        <f t="shared" si="4"/>
        <v>0</v>
      </c>
      <c r="AF18" s="899">
        <f t="shared" si="4"/>
        <v>2787</v>
      </c>
      <c r="AG18" s="899">
        <f t="shared" si="4"/>
        <v>0</v>
      </c>
      <c r="AH18" s="899">
        <f t="shared" si="4"/>
        <v>0</v>
      </c>
      <c r="AI18" s="899">
        <f t="shared" si="4"/>
        <v>0</v>
      </c>
      <c r="AJ18" s="899">
        <f t="shared" si="4"/>
        <v>0</v>
      </c>
      <c r="AK18" s="899">
        <f t="shared" si="4"/>
        <v>0</v>
      </c>
      <c r="AL18" s="899">
        <f t="shared" si="4"/>
        <v>0</v>
      </c>
      <c r="AM18" s="899">
        <f t="shared" si="4"/>
        <v>197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v>
      </c>
      <c r="BD18" s="899">
        <f t="shared" si="4"/>
        <v>181</v>
      </c>
      <c r="BE18" s="899">
        <f t="shared" si="4"/>
        <v>0</v>
      </c>
      <c r="BF18" s="899">
        <f t="shared" si="4"/>
        <v>0</v>
      </c>
      <c r="BG18" s="899">
        <f>IF(ISNUMBER(Datos!K18/Datos!J18),Datos!K18/Datos!J18," - ")</f>
        <v>0.52631578947368418</v>
      </c>
      <c r="BH18" s="903">
        <f>IF(ISNUMBER(((Datos!L18/Datos!K18)*11)/factor_trimestre),((Datos!L18/Datos!K18)*11)/factor_trimestre," - ")</f>
        <v>21.438461538461542</v>
      </c>
      <c r="BI18" s="899">
        <f>SUBTOTAL(9,BI15:BI17)</f>
        <v>0.37922077922077924</v>
      </c>
      <c r="BJ18" s="899">
        <f>SUBTOTAL(9,BJ15:BJ17)</f>
        <v>0</v>
      </c>
      <c r="BK18" s="899">
        <f>SUBTOTAL(9,BK15:BK17)</f>
        <v>0</v>
      </c>
      <c r="BL18" s="899">
        <f>IF(ISNUMBER((I18-AB18+L18)/(F18)),(I18-AB18+L18)/(F18)," - ")</f>
        <v>-0.1649746192893401</v>
      </c>
      <c r="BM18" s="905">
        <f>IF(ISNUMBER((Datos!P18-Datos!Q18)/(Datos!R18-Datos!P18+Datos!Q18)),(Datos!P18-Datos!Q18)/(Datos!R18-Datos!P18+Datos!Q18)," - ")</f>
        <v>2.072538860103627E-2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2372</v>
      </c>
      <c r="G19" s="820">
        <f t="shared" si="6"/>
        <v>2444</v>
      </c>
      <c r="H19" s="822">
        <f t="shared" si="6"/>
        <v>0</v>
      </c>
      <c r="I19" s="820">
        <f t="shared" si="6"/>
        <v>0</v>
      </c>
      <c r="J19" s="822">
        <f t="shared" si="6"/>
        <v>0</v>
      </c>
      <c r="K19" s="822">
        <f t="shared" si="6"/>
        <v>0</v>
      </c>
      <c r="L19" s="881">
        <f t="shared" si="6"/>
        <v>0</v>
      </c>
      <c r="M19" s="881">
        <f t="shared" si="6"/>
        <v>0</v>
      </c>
      <c r="N19" s="881">
        <f t="shared" si="6"/>
        <v>73</v>
      </c>
      <c r="O19" s="881">
        <f t="shared" si="6"/>
        <v>0</v>
      </c>
      <c r="P19" s="881">
        <f t="shared" si="6"/>
        <v>0</v>
      </c>
      <c r="Q19" s="822">
        <f t="shared" si="6"/>
        <v>194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391</v>
      </c>
      <c r="AC19" s="821">
        <f t="shared" si="7"/>
        <v>186</v>
      </c>
      <c r="AD19" s="821">
        <f t="shared" si="7"/>
        <v>0</v>
      </c>
      <c r="AE19" s="821">
        <f t="shared" si="7"/>
        <v>0</v>
      </c>
      <c r="AF19" s="828">
        <f t="shared" si="7"/>
        <v>2795</v>
      </c>
      <c r="AG19" s="828">
        <f t="shared" si="7"/>
        <v>0</v>
      </c>
      <c r="AH19" s="828">
        <f t="shared" si="7"/>
        <v>249</v>
      </c>
      <c r="AI19" s="828">
        <f t="shared" si="7"/>
        <v>0</v>
      </c>
      <c r="AJ19" s="821">
        <f t="shared" si="7"/>
        <v>0</v>
      </c>
      <c r="AK19" s="828">
        <f t="shared" si="7"/>
        <v>0</v>
      </c>
      <c r="AL19" s="828">
        <f t="shared" si="7"/>
        <v>0</v>
      </c>
      <c r="AM19" s="828">
        <f t="shared" si="7"/>
        <v>6148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178</v>
      </c>
      <c r="BD19" s="820">
        <f t="shared" si="7"/>
        <v>457</v>
      </c>
      <c r="BE19" s="820">
        <f t="shared" si="7"/>
        <v>0</v>
      </c>
      <c r="BF19" s="830">
        <f t="shared" si="7"/>
        <v>0</v>
      </c>
      <c r="BG19" s="915">
        <f>IF(ISNUMBER(Datos!K19/Datos!J19),Datos!K19/Datos!J19," - ")</f>
        <v>0.74335782928208027</v>
      </c>
      <c r="BH19" s="915">
        <f>IF(ISNUMBER(((Datos!L19/Datos!K19)*11)/factor_trimestre),((Datos!L19/Datos!K19)*11)/factor_trimestre," - ")</f>
        <v>20.523193916349811</v>
      </c>
      <c r="BI19" s="813">
        <f>IF(ISNUMBER(Datos!J19/Datos!I19),Datos!J19/Datos!I19," - ")</f>
        <v>0.20709435729337392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-0.1648397976391231</v>
      </c>
      <c r="BM19" s="889">
        <f>IF(ISNUMBER((Datos!P19-Datos!Q19+R19)/(Datos!R19-Datos!P19+Datos!Q19-R19)),(Datos!P19-Datos!Q19+R19)/(Datos!R19-Datos!P19+Datos!Q19-R19)," - ")</f>
        <v>1.3029315960912053E-3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1360.2372342107583</v>
      </c>
      <c r="G21" s="552">
        <f>IF(ISNUMBER(STDEV(G8:G18)),STDEV(G8:G18),"-")</f>
        <v>1298.9799074658545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210.97819792575726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48.276978640617791</v>
      </c>
      <c r="BD21" s="551"/>
      <c r="BE21" s="551">
        <f>IF(ISNUMBER(STDEV(BE8:BE18)),STDEV(BE8:BE18),"-")</f>
        <v>0</v>
      </c>
      <c r="BF21" s="556">
        <f>IF(ISNUMBER(STDEV(BF8:BF18)),STDEV(BF8:BF18),"-")</f>
        <v>0</v>
      </c>
      <c r="BG21" s="775">
        <f>IF(ISNUMBER(STDEV(BG8:BG18)),STDEV(BG8:BG18),"-")</f>
        <v>0.22516754107530829</v>
      </c>
      <c r="BH21" s="776">
        <f>IF(ISNUMBER(STDEV(BH8:BH18)),STDEV(BH8:BH18),"-")</f>
        <v>7.8164881510862054</v>
      </c>
      <c r="BI21" s="249">
        <f>IF(ISNUMBER(STDEV(BI8:BI18)),STDEV(BI8:BI18),"-")</f>
        <v>0.1140881965557928</v>
      </c>
      <c r="BJ21" s="230" t="str">
        <f>IF(ISNUMBER(BL21/BM21),BL21/BM21," - ")</f>
        <v xml:space="preserve"> - </v>
      </c>
      <c r="BK21" s="575"/>
      <c r="BL21" s="559">
        <f>IF(ISNUMBER(STDEV(BL8:BL18)),STDEV(BL8:BL18),"-")</f>
        <v>2.8266324374842985E-2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h+VHIF7q4l4gHONJbVwJGoOuvQ6oFSHeanpUtPL5Xd56URwJRDtLcnHvbE3OOWIM0FPbCsXJ8NtPYnjH3rSFDw==" saltValue="3ZRZK5awTwhNq1OsryLm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VILLAJOYOSA-VILA JOIOSA,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8</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173</v>
      </c>
      <c r="AA12" s="332" t="str">
        <f>IF(ISNUMBER(IF(J_V="SI",Datos!L12,Datos!L12+Datos!AB12)-IF(Monitorios="SI",Datos!CD12,0)),
                          IF(J_V="SI",Datos!L12,Datos!L12+Datos!AB12)-IF(Monitorios="SI",Datos!CD12,0),
                          " - ")</f>
        <v xml:space="preserve"> - </v>
      </c>
      <c r="AB12" s="334"/>
      <c r="AC12" s="334"/>
      <c r="AD12" s="484"/>
      <c r="AE12" s="484">
        <f>IF(ISNUMBER(Datos!R12),Datos!R12," - ")</f>
        <v>5950</v>
      </c>
      <c r="AF12" s="229" t="str">
        <f>IF(ISNUMBER(Datos!BV12),Datos!BV12," - ")</f>
        <v xml:space="preserve"> - </v>
      </c>
      <c r="AG12" s="225" t="str">
        <f>IF(ISNUMBER(Datos!DV12),Datos!DV12," - ")</f>
        <v xml:space="preserve"> - </v>
      </c>
      <c r="AH12" s="298"/>
      <c r="AI12" s="227"/>
      <c r="AJ12" s="225">
        <f>IF(ISNUMBER(Datos!M12),Datos!M12," - ")</f>
        <v>107</v>
      </c>
      <c r="AK12" s="229">
        <f>IF(ISNUMBER(Datos!N12),Datos!N12," - ")</f>
        <v>276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20.093457943925234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6.7272115708039018E-4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177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173</v>
      </c>
      <c r="AA13" s="900">
        <f t="shared" si="2"/>
        <v>8</v>
      </c>
      <c r="AB13" s="900">
        <f t="shared" si="2"/>
        <v>0</v>
      </c>
      <c r="AC13" s="900">
        <f t="shared" si="2"/>
        <v>0</v>
      </c>
      <c r="AD13" s="900">
        <f t="shared" si="2"/>
        <v>0</v>
      </c>
      <c r="AE13" s="900">
        <f t="shared" si="2"/>
        <v>5951</v>
      </c>
      <c r="AF13" s="908">
        <f t="shared" si="2"/>
        <v>0</v>
      </c>
      <c r="AG13" s="908">
        <f t="shared" si="2"/>
        <v>0</v>
      </c>
      <c r="AH13" s="908">
        <f t="shared" si="2"/>
        <v>0</v>
      </c>
      <c r="AI13" s="908">
        <f t="shared" si="2"/>
        <v>0</v>
      </c>
      <c r="AJ13" s="908">
        <f t="shared" si="2"/>
        <v>108</v>
      </c>
      <c r="AK13" s="908">
        <f t="shared" si="2"/>
        <v>276</v>
      </c>
      <c r="AL13" s="908">
        <f t="shared" si="2"/>
        <v>0</v>
      </c>
      <c r="AM13" s="908">
        <f t="shared" si="2"/>
        <v>0</v>
      </c>
      <c r="AN13" s="908">
        <f t="shared" si="2"/>
        <v>0</v>
      </c>
      <c r="AO13" s="904">
        <f>IF(ISNUMBER(((NºAsuntos!I13/NºAsuntos!G13)*11)/factor_trimestre),((NºAsuntos!I13/NºAsuntos!G13)*11)/factor_trimestre," - ")</f>
        <v>20.097510373443985</v>
      </c>
      <c r="AP13" s="910" t="str">
        <f>IF(ISNUMBER(Datos!CI13/Datos!CJ13),Datos!CI13/Datos!CJ13," - ")</f>
        <v xml:space="preserve"> - </v>
      </c>
      <c r="AQ13" s="928">
        <f t="shared" ref="AQ13:AV13" si="3">SUBTOTAL(9,AQ9:AQ12)</f>
        <v>0</v>
      </c>
      <c r="AR13" s="928">
        <f t="shared" si="3"/>
        <v>6.7272115708039018E-4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2364</v>
      </c>
      <c r="G16" s="225">
        <f>IF(ISNUMBER(IF(D_I="SI",Datos!I16,Datos!I16+Datos!AC16)),IF(D_I="SI",Datos!I16,Datos!I16+Datos!AC16)," - ")</f>
        <v>2364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385</v>
      </c>
      <c r="Z16" s="619">
        <f>IF(ISNUMBER(Datos!Q16),Datos!Q16," - ")</f>
        <v>13</v>
      </c>
      <c r="AA16" s="332">
        <f>IF(ISNUMBER(IF(D_I="SI",Datos!L16,Datos!L16+Datos!AF16)),IF(D_I="SI",Datos!L16,Datos!L16+Datos!AF16)," - ")</f>
        <v>2720</v>
      </c>
      <c r="AB16" s="334"/>
      <c r="AC16" s="334"/>
      <c r="AD16" s="484"/>
      <c r="AE16" s="484">
        <f>IF(ISNUMBER(Datos!R16),Datos!R16," - ")</f>
        <v>197</v>
      </c>
      <c r="AF16" s="229" t="str">
        <f>IF(ISNUMBER(Datos!BV16),Datos!BV16," - ")</f>
        <v xml:space="preserve"> - </v>
      </c>
      <c r="AG16" s="225"/>
      <c r="AH16" s="298"/>
      <c r="AI16" s="227"/>
      <c r="AJ16" s="225">
        <f>IF(ISNUMBER(Datos!M16),Datos!M16," - ")</f>
        <v>69</v>
      </c>
      <c r="AK16" s="229">
        <f>IF(ISNUMBER(Datos!N16),Datos!N16," - ")</f>
        <v>181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21.194805194805195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67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40.200000000000003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2364</v>
      </c>
      <c r="G18" s="898">
        <f>SUBTOTAL(9,G15:G17)</f>
        <v>2436</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390</v>
      </c>
      <c r="Z18" s="932">
        <f t="shared" si="5"/>
        <v>13</v>
      </c>
      <c r="AA18" s="932">
        <f t="shared" si="5"/>
        <v>2787</v>
      </c>
      <c r="AB18" s="932">
        <f t="shared" si="5"/>
        <v>0</v>
      </c>
      <c r="AC18" s="932">
        <f t="shared" si="5"/>
        <v>0</v>
      </c>
      <c r="AD18" s="932">
        <f t="shared" si="5"/>
        <v>0</v>
      </c>
      <c r="AE18" s="932">
        <f t="shared" si="5"/>
        <v>197</v>
      </c>
      <c r="AF18" s="932">
        <f t="shared" si="5"/>
        <v>0</v>
      </c>
      <c r="AG18" s="932">
        <f t="shared" si="5"/>
        <v>0</v>
      </c>
      <c r="AH18" s="932">
        <f t="shared" si="5"/>
        <v>0</v>
      </c>
      <c r="AI18" s="932">
        <f t="shared" si="5"/>
        <v>0</v>
      </c>
      <c r="AJ18" s="932">
        <f t="shared" si="5"/>
        <v>70</v>
      </c>
      <c r="AK18" s="932">
        <f t="shared" si="5"/>
        <v>181</v>
      </c>
      <c r="AL18" s="932">
        <f t="shared" si="5"/>
        <v>0</v>
      </c>
      <c r="AM18" s="932">
        <f t="shared" si="5"/>
        <v>0</v>
      </c>
      <c r="AN18" s="932">
        <f t="shared" si="5"/>
        <v>0</v>
      </c>
      <c r="AO18" s="934">
        <f>IF(ISNUMBER(((NºAsuntos!I18/NºAsuntos!G18)*11)/factor_trimestre),((NºAsuntos!I18/NºAsuntos!G18)*11)/factor_trimestre," - ")</f>
        <v>21.438461538461542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2372</v>
      </c>
      <c r="G19" s="820">
        <f t="shared" si="7"/>
        <v>2444</v>
      </c>
      <c r="H19" s="821">
        <f t="shared" si="7"/>
        <v>0</v>
      </c>
      <c r="I19" s="820">
        <f t="shared" si="7"/>
        <v>0</v>
      </c>
      <c r="J19" s="822">
        <f t="shared" si="7"/>
        <v>0</v>
      </c>
      <c r="K19" s="820">
        <f t="shared" si="7"/>
        <v>0</v>
      </c>
      <c r="L19" s="823">
        <f t="shared" si="7"/>
        <v>0</v>
      </c>
      <c r="M19" s="820">
        <f t="shared" si="7"/>
        <v>0</v>
      </c>
      <c r="N19" s="821">
        <f t="shared" si="7"/>
        <v>194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391</v>
      </c>
      <c r="Z19" s="827">
        <f t="shared" si="8"/>
        <v>186</v>
      </c>
      <c r="AA19" s="828">
        <f t="shared" si="8"/>
        <v>2795</v>
      </c>
      <c r="AB19" s="828">
        <f t="shared" si="8"/>
        <v>0</v>
      </c>
      <c r="AC19" s="828">
        <f t="shared" si="8"/>
        <v>0</v>
      </c>
      <c r="AD19" s="829">
        <f t="shared" si="8"/>
        <v>0</v>
      </c>
      <c r="AE19" s="829">
        <f t="shared" si="8"/>
        <v>6148</v>
      </c>
      <c r="AF19" s="830">
        <f t="shared" si="8"/>
        <v>0</v>
      </c>
      <c r="AG19" s="831">
        <f t="shared" si="8"/>
        <v>0</v>
      </c>
      <c r="AH19" s="832">
        <f t="shared" si="8"/>
        <v>0</v>
      </c>
      <c r="AI19" s="830">
        <f t="shared" si="8"/>
        <v>0</v>
      </c>
      <c r="AJ19" s="820">
        <f t="shared" si="8"/>
        <v>178</v>
      </c>
      <c r="AK19" s="820">
        <f t="shared" si="8"/>
        <v>457</v>
      </c>
      <c r="AL19" s="820">
        <f t="shared" si="8"/>
        <v>0</v>
      </c>
      <c r="AM19" s="833">
        <f t="shared" si="8"/>
        <v>0</v>
      </c>
      <c r="AN19" s="823">
        <f>IF(ISNUMBER(Datos!K19/Datos!J19),Datos!K19/Datos!J19," - ")</f>
        <v>0.74335782928208027</v>
      </c>
      <c r="AO19" s="823">
        <f>IF(ISNUMBER(FIND("06",Criterios!A8,1)),(IF(ISNUMBER(((Datos!R19/Datos!Q19)*11)/factor_trimestre),((Datos!R19/Datos!Q19)*11)/factor_trimestre," - ")),(IF(ISNUMBER(((Datos!L19/Datos!K19)*11)/factor_trimestre),((Datos!L19/Datos!K19)*11)/factor_trimestre," - ")))</f>
        <v>20.523193916349811</v>
      </c>
      <c r="AP19" s="834" t="str">
        <f>IF(ISNUMBER(Datos!CI19/Datos!CJ19),Datos!CI19/Datos!CJ19," - ")</f>
        <v xml:space="preserve"> - </v>
      </c>
      <c r="AQ19" s="834">
        <f>IF(OR(ISNUMBER(FIND("01",Criterios!A8,1)),ISNUMBER(FIND("02",Criterios!A8,1)),ISNUMBER(FIND("03",Criterios!A8,1)),ISNUMBER(FIND("04",Criterios!A8,1))),(J19-Y19+K19)/(F19-K19),(I19-Y19+K19)/(F19-K19))</f>
        <v>-0.1648397976391231</v>
      </c>
      <c r="AR19" s="834">
        <f>IF(ISNUMBER((Datos!P19-Datos!Q19+O19)/(Datos!R19-Datos!P19+Datos!Q19-O19)),(Datos!P19-Datos!Q19+O19)/(Datos!R19-Datos!P19+Datos!Q19-O19)," - ")</f>
        <v>1.3029315960912053E-3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1360.2372342107583</v>
      </c>
      <c r="G21" s="552">
        <f>IF(ISNUMBER(STDEV(G8:G18)),STDEV(G8:G18),"-")</f>
        <v>1298.9799074658545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48.276978640617791</v>
      </c>
      <c r="AK21" s="252"/>
      <c r="AL21" s="252">
        <f>IF(ISNUMBER(STDEV(AL8:AL18)),STDEV(AL8:AL18),"-")</f>
        <v>0</v>
      </c>
      <c r="AM21" s="254">
        <f>IF(ISNUMBER(STDEV(AM8:AM18)),STDEV(AM8:AM18),"-")</f>
        <v>0</v>
      </c>
      <c r="AN21" s="539">
        <f>IF(ISNUMBER(STDEV(AN8:AN18)),STDEV(AN8:AN18),"-")</f>
        <v>0</v>
      </c>
      <c r="AO21" s="540">
        <f>IF(ISNUMBER(STDEV(AO8:AO18)),STDEV(AO8:AO18),"-")</f>
        <v>7.8209559564805398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98zVUhtBgM1Zcvos6Cg5GqsBLAL0eG5rx7KaFttDFGF5vBGsgYVHzPnwlm55bY7HYocpo9yLICanTv0gopG8bw==" saltValue="HDMWWl04xdZ8VILQNsPP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ZjJDFDUEoE7ggpZCVrLqQmuQ7ChsL5V5tdJNAdbrPGIs5LqyioUVShS2JxQz6bSIfVVSI5jFrYw7/FZ5uTHqA==" saltValue="iLAD/mFoGXktv32Wtv1g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v/yiD9q8JKfEos6dCG2MAlFukKI1QnoFgLt8NZ/jgXxVKY9VkFYirm9W814d3ORn+GPNRd/PxR39gIGdjJXg==" saltValue="nyEU/5NXSPx3ucg6Um4TP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VILLAJOYOSA-VILA JOIOSA,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0.11203319502074689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7.9219431917165073E-2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xIWywZmvA71idwaMpppi+N/wSTBxwvWe22b9YMkHh89QvKO5kIN3ZePmahCs1/F14L4KedB/LExz34OQv0FUlQ==" saltValue="jjGwCWlawUk8zkVmbYur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T05RxFbP9YlNZYdRiCnp9mSzLV6LIZW8bhfpPeqbE9NrS4F8cDaMBO+vbP2ojVGtzV1JXkCxkFr3KRIpeQaag==" saltValue="At50jlBtZpZGxJ30Wzsr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VILLAJOYOSA-VILA JOIOSA, LA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v>
      </c>
      <c r="D10" s="404">
        <f>IF(ISNUMBER(C10/Datos!BH10),C10/Datos!BH10," - ")</f>
        <v>8</v>
      </c>
      <c r="E10" s="403">
        <f>IF(ISNUMBER(Datos!J10),Datos!J10," - ")</f>
        <v>1</v>
      </c>
      <c r="F10" s="404">
        <f>IF(ISNUMBER(E10/B10),E10/B10," - ")</f>
        <v>1</v>
      </c>
      <c r="G10" s="403">
        <f>IF(ISNUMBER(Datos!K10),Datos!K10," - ")</f>
        <v>1</v>
      </c>
      <c r="H10" s="404">
        <f>IF(ISNUMBER(G10/B10),G10/B10," - ")</f>
        <v>1</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6313</v>
      </c>
      <c r="D12" s="404">
        <f>IF(ISNUMBER(C12/Datos!BH12),C12/Datos!BH12," - ")</f>
        <v>1578.25</v>
      </c>
      <c r="E12" s="403">
        <f>IF(ISNUMBER(IF(J_V="SI",Datos!J12,Datos!J12+Datos!Z12)),IF(J_V="SI",Datos!J12,Datos!J12+Datos!Z12)," - ")</f>
        <v>1100</v>
      </c>
      <c r="F12" s="404">
        <f>IF(ISNUMBER(E12/B12),E12/B12," - ")</f>
        <v>275</v>
      </c>
      <c r="G12" s="403">
        <f>IF(ISNUMBER(IF(J_V="SI",Datos!K12,Datos!K12+Datos!AA12)),IF(J_V="SI",Datos!K12,Datos!K12+Datos!AA12)," - ")</f>
        <v>963</v>
      </c>
      <c r="H12" s="404">
        <f>IF(ISNUMBER(G12/B12),G12/B12," - ")</f>
        <v>240.75</v>
      </c>
      <c r="I12" s="403">
        <f>IF(ISNUMBER(IF(J_V="SI",Datos!L12,Datos!L12+Datos!AB12)),IF(J_V="SI",Datos!L12,Datos!L12+Datos!AB12)," - ")</f>
        <v>6450</v>
      </c>
      <c r="J12" s="404">
        <f>IF(ISNUMBER(I12/B12),I12/B12," - ")</f>
        <v>1612.5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6321</v>
      </c>
      <c r="D13" s="850" t="str">
        <f>IF(ISNUMBER(C13/Datos!BI13),C13/Datos!BI13," - ")</f>
        <v xml:space="preserve"> - </v>
      </c>
      <c r="E13" s="849">
        <f>SUBTOTAL(9,E8:E12)</f>
        <v>1101</v>
      </c>
      <c r="F13" s="850">
        <f>IF(ISNUMBER(E13/B13),E13/B13," - ")</f>
        <v>275.25</v>
      </c>
      <c r="G13" s="849">
        <f>SUBTOTAL(9,G8:G12)</f>
        <v>964</v>
      </c>
      <c r="H13" s="850">
        <f>IF(ISNUMBER(G13/B13),G13/B13," - ")</f>
        <v>241</v>
      </c>
      <c r="I13" s="849">
        <f>SUBTOTAL(9,I8:I12)</f>
        <v>6458</v>
      </c>
      <c r="J13" s="850">
        <f>IF(ISNUMBER(I13/B13),I13/B13," - ")</f>
        <v>1614.5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2364</v>
      </c>
      <c r="D16" s="404">
        <f>IF(ISNUMBER(C16/Datos!BH16),C16/Datos!BH16," - ")</f>
        <v>591</v>
      </c>
      <c r="E16" s="403">
        <f>IF(ISNUMBER(IF(D_I="SI",Datos!J16,Datos!J16+Datos!AD16)),IF(D_I="SI",Datos!J16,Datos!J16+Datos!AD16)," - ")</f>
        <v>741</v>
      </c>
      <c r="F16" s="404">
        <f>IF(ISNUMBER(E16/B16),E16/B16," - ")</f>
        <v>185.25</v>
      </c>
      <c r="G16" s="403">
        <f>IF(ISNUMBER(IF(D_I="SI",Datos!K16,Datos!K16+Datos!AE16)),IF(D_I="SI",Datos!K16,Datos!K16+Datos!AE16)," - ")</f>
        <v>385</v>
      </c>
      <c r="H16" s="404">
        <f>IF(ISNUMBER(G16/B16),G16/B16," - ")</f>
        <v>96.25</v>
      </c>
      <c r="I16" s="403">
        <f>IF(ISNUMBER(IF(D_I="SI",Datos!L16,Datos!L16+Datos!AF16)),IF(D_I="SI",Datos!L16,Datos!L16+Datos!AF16)," - ")</f>
        <v>2720</v>
      </c>
      <c r="J16" s="404">
        <f>IF(ISNUMBER(I16/B16),I16/B16," - ")</f>
        <v>680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72</v>
      </c>
      <c r="D17" s="404">
        <f>IF(ISNUMBER(C17/Datos!BH17),C17/Datos!BH17," - ")</f>
        <v>72</v>
      </c>
      <c r="E17" s="403">
        <f>IF(ISNUMBER(IF(D_I="SI",Datos!J17,Datos!J17+Datos!AD17)),IF(D_I="SI",Datos!J17,Datos!J17+Datos!AD17)," - ")</f>
        <v>0</v>
      </c>
      <c r="F17" s="404">
        <f>IF(ISNUMBER(E17/B17),E17/B17," - ")</f>
        <v>0</v>
      </c>
      <c r="G17" s="403">
        <f>IF(ISNUMBER(IF(D_I="SI",Datos!K17,Datos!K17+Datos!AE17)),IF(D_I="SI",Datos!K17,Datos!K17+Datos!AE17)," - ")</f>
        <v>5</v>
      </c>
      <c r="H17" s="404">
        <f>IF(ISNUMBER(G17/B17),G17/B17," - ")</f>
        <v>5</v>
      </c>
      <c r="I17" s="403">
        <f>IF(ISNUMBER(IF(D_I="SI",Datos!L17,Datos!L17+Datos!AF17)),IF(D_I="SI",Datos!L17,Datos!L17+Datos!AF17)," - ")</f>
        <v>67</v>
      </c>
      <c r="J17" s="404">
        <f>IF(ISNUMBER(I17/B17),I17/B17," - ")</f>
        <v>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2436</v>
      </c>
      <c r="D18" s="850" t="str">
        <f>IF(ISNUMBER(C18/Datos!BI18),C18/Datos!BI18," - ")</f>
        <v xml:space="preserve"> - </v>
      </c>
      <c r="E18" s="849">
        <f>SUBTOTAL(9,E14:E17)</f>
        <v>741</v>
      </c>
      <c r="F18" s="850">
        <f>IF(ISNUMBER(E18/B18),E18/B18," - ")</f>
        <v>185.25</v>
      </c>
      <c r="G18" s="849">
        <f>SUBTOTAL(9,G14:G17)</f>
        <v>390</v>
      </c>
      <c r="H18" s="850">
        <f>IF(ISNUMBER(G18/B18),G18/B18," - ")</f>
        <v>97.5</v>
      </c>
      <c r="I18" s="849">
        <f>SUBTOTAL(9,I14:I17)</f>
        <v>2787</v>
      </c>
      <c r="J18" s="850">
        <f>IF(ISNUMBER(I18/B18),I18/B18," - ")</f>
        <v>696.75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8757</v>
      </c>
      <c r="D19" s="795" t="str">
        <f>IF(ISNUMBER(C19/Datos!BI19),C19/Datos!BI19," - ")</f>
        <v xml:space="preserve"> - </v>
      </c>
      <c r="E19" s="794">
        <f>SUBTOTAL(9,E9:E18)</f>
        <v>1842</v>
      </c>
      <c r="F19" s="795">
        <f>IF(ISNUMBER(E19/B19),E19/B19," - ")</f>
        <v>460.5</v>
      </c>
      <c r="G19" s="794">
        <f>SUBTOTAL(9,G9:G18)</f>
        <v>1354</v>
      </c>
      <c r="H19" s="795">
        <f>IF(ISNUMBER(G19/B19),G19/B19," - ")</f>
        <v>338.5</v>
      </c>
      <c r="I19" s="794">
        <f>SUBTOTAL(9,I9:I18)</f>
        <v>9245</v>
      </c>
      <c r="J19" s="795">
        <f>IF(ISNUMBER(I19/B19),I19/B19," - ")</f>
        <v>2311.25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FH2hbONq2iDSfveLm3S/4ykn4D3Ireplf1CdUho0NPGwSgf3CLm1KQ5QJZyqMh6ncbE7AXzzh+mnFB8UTtfGEg==" saltValue="Fbp1BEIvLQ7jZihhHIuV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VILLAJOYOSA-VILA JOIOSA,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107</v>
      </c>
      <c r="AM12" s="690">
        <f>IF(ISNUMBER(Datos!N12+DatosP!N16),Datos!N12+DatosP!N16," - ")</f>
        <v>276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20.093457943925234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6.7272115708039018E-4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177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173</v>
      </c>
      <c r="AE13" s="939">
        <f t="shared" si="1"/>
        <v>0</v>
      </c>
      <c r="AF13" s="939">
        <f t="shared" si="1"/>
        <v>8</v>
      </c>
      <c r="AG13" s="939">
        <f t="shared" si="1"/>
        <v>0</v>
      </c>
      <c r="AH13" s="939">
        <f t="shared" si="1"/>
        <v>5950</v>
      </c>
      <c r="AI13" s="939">
        <f t="shared" si="1"/>
        <v>0</v>
      </c>
      <c r="AJ13" s="939">
        <f t="shared" si="1"/>
        <v>0</v>
      </c>
      <c r="AK13" s="939">
        <f t="shared" si="1"/>
        <v>0</v>
      </c>
      <c r="AL13" s="939">
        <f t="shared" si="1"/>
        <v>108</v>
      </c>
      <c r="AM13" s="939">
        <f t="shared" si="1"/>
        <v>276</v>
      </c>
      <c r="AN13" s="939">
        <f t="shared" si="1"/>
        <v>0</v>
      </c>
      <c r="AO13" s="939">
        <f t="shared" si="1"/>
        <v>0</v>
      </c>
      <c r="AP13" s="944">
        <f>IF(ISNUMBER(((Datos!L13/Datos!K13)*11)/factor_trimestre),((Datos!L13/Datos!K13)*11)/factor_trimestre," - ")</f>
        <v>20.137297297297298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-0.125</v>
      </c>
      <c r="AU13" s="939" t="str">
        <f>IF(ISNUMBER((DatosP!#REF!-DatosP!#REF!+DatosP!#REF!)/(DatosP!#REF!+DatosP!#REF!-DatosP!#REF!-DatosP!#REF!)),(DatosP!#REF!-DatosP!#REF!+DatosP!#REF!)/(DatosP!#REF!+DatosP!#REF!-DatosP!#REF!-DatosP!#REF!)," - ")</f>
        <v xml:space="preserve"> - </v>
      </c>
      <c r="AV13" s="945">
        <f>SUBTOTAL(9,AV9:AV12)</f>
        <v>6.7272115708039018E-4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21.438461538461542</v>
      </c>
      <c r="AQ18" s="944">
        <f>IF(ISNUMBER(((Datos!M18/Datos!L18)*11)/factor_trimestre),((Datos!M18/Datos!L18)*11)/factor_trimestre," - ")</f>
        <v>7.5349838536060282E-2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2.072538860103627E-2</v>
      </c>
      <c r="AW18" s="946">
        <f>IF(ISNUMBER((Datos!Q18-Datos!R18)/(Datos!S18-Datos!Q18+Datos!R18)),(Datos!Q18-Datos!R18)/(Datos!S18-Datos!Q18+Datos!R18)," - ")</f>
        <v>-0.10176991150442478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177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173</v>
      </c>
      <c r="AE19" s="957">
        <f t="shared" si="5"/>
        <v>0</v>
      </c>
      <c r="AF19" s="958">
        <f t="shared" si="5"/>
        <v>8</v>
      </c>
      <c r="AG19" s="958">
        <f t="shared" si="5"/>
        <v>0</v>
      </c>
      <c r="AH19" s="958">
        <f t="shared" si="5"/>
        <v>5950</v>
      </c>
      <c r="AI19" s="958">
        <f t="shared" si="5"/>
        <v>0</v>
      </c>
      <c r="AJ19" s="959">
        <f t="shared" si="5"/>
        <v>0</v>
      </c>
      <c r="AK19" s="959">
        <f t="shared" si="5"/>
        <v>0</v>
      </c>
      <c r="AL19" s="951">
        <f t="shared" si="5"/>
        <v>108</v>
      </c>
      <c r="AM19" s="951">
        <f t="shared" si="5"/>
        <v>276</v>
      </c>
      <c r="AN19" s="951">
        <f t="shared" si="5"/>
        <v>0</v>
      </c>
      <c r="AO19" s="951">
        <f t="shared" si="5"/>
        <v>0</v>
      </c>
      <c r="AP19" s="951">
        <f>IF(ISNUMBER(((Datos!L19/Datos!K19)*11)/factor_trimestre),((Datos!L19/Datos!K19)*11)/factor_trimestre," - ")</f>
        <v>20.523193916349811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1.3029315960912053E-3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61.779176642835459</v>
      </c>
      <c r="AM21" s="736"/>
      <c r="AN21" s="736">
        <f>IF(ISNUMBER(STDEV(AN8:AN18)),STDEV(AN8:AN18),"-")</f>
        <v>0</v>
      </c>
      <c r="AO21" s="742">
        <f>IF(ISNUMBER(STDEV(AO8:AO18)),STDEV(AO8:AO18),"-")</f>
        <v>0</v>
      </c>
      <c r="AP21" s="779">
        <f>IF(ISNUMBER(STDEV(AP8:AP18)),STDEV(AP8:AP18),"-")</f>
        <v>1.8313703256485434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EJWW/4NZY3IHExu7QzS577Yvpd1vVDPr0a0sS+chLm3scYALJYEd+cj2rqAlSW/WiPrwm13p5IH0zHXz4CkWnQ==" saltValue="oxby+z6lnoMGI5EyRqN+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VILLAJOYOSA-VILA JOIOSA, 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nphOqfB06n/KkC5bKXZQmxpkTG9OqZuwZS4kJvRWS3xjd+zKb5QNU6NH7lii7mBfJrvZwzHOo4osWp63334QvA==" saltValue="t4uV9geBymKDa54Hh+d4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VILLAJOYOSA-VILA JOIOSA, LA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107</v>
      </c>
      <c r="E12" s="404">
        <f t="shared" si="0"/>
        <v>26.75</v>
      </c>
      <c r="F12" s="403">
        <f>IF(ISNUMBER(Datos!N12),Datos!N12," - ")</f>
        <v>276</v>
      </c>
      <c r="G12" s="404">
        <f t="shared" si="1"/>
        <v>69</v>
      </c>
      <c r="H12" s="403">
        <f>IF(ISNUMBER(Datos!O12),Datos!O12," - ")</f>
        <v>395</v>
      </c>
      <c r="I12" s="404">
        <f t="shared" si="2"/>
        <v>98.75</v>
      </c>
      <c r="BZ12" s="1186">
        <f>Datos!EZ12</f>
        <v>0</v>
      </c>
    </row>
    <row r="13" spans="1:78" ht="14.25" thickTop="1" thickBot="1">
      <c r="A13" s="848" t="str">
        <f>Datos!A13</f>
        <v>TOTAL</v>
      </c>
      <c r="B13" s="849">
        <f>Datos!AP13</f>
        <v>4</v>
      </c>
      <c r="C13" s="851">
        <f>Datos!AR13</f>
        <v>4</v>
      </c>
      <c r="D13" s="849">
        <f>SUBTOTAL(9,D9:D12)</f>
        <v>108</v>
      </c>
      <c r="E13" s="850">
        <f t="shared" si="0"/>
        <v>27</v>
      </c>
      <c r="F13" s="849">
        <f>SUBTOTAL(9,F9:F12)</f>
        <v>276</v>
      </c>
      <c r="G13" s="850">
        <f t="shared" si="1"/>
        <v>69</v>
      </c>
      <c r="H13" s="849">
        <f>SUBTOTAL(9,H9:H12)</f>
        <v>395</v>
      </c>
      <c r="I13" s="850">
        <f>IF(ISNUMBER(H13/B13),H13/B13," - ")</f>
        <v>98.75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69</v>
      </c>
      <c r="E16" s="404">
        <f t="shared" si="3"/>
        <v>17.25</v>
      </c>
      <c r="F16" s="403">
        <f>IF(ISNUMBER(Datos!N16),Datos!N16," - ")</f>
        <v>181</v>
      </c>
      <c r="G16" s="404">
        <f t="shared" si="4"/>
        <v>45.25</v>
      </c>
      <c r="H16" s="403">
        <f>IF(ISNUMBER(Datos!O16),Datos!O16," - ")</f>
        <v>11</v>
      </c>
      <c r="I16" s="404">
        <f t="shared" si="5"/>
        <v>2.75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70</v>
      </c>
      <c r="E18" s="850">
        <f t="shared" si="3"/>
        <v>17.5</v>
      </c>
      <c r="F18" s="849">
        <f>SUBTOTAL(9,F15:F17)</f>
        <v>181</v>
      </c>
      <c r="G18" s="850">
        <f t="shared" si="4"/>
        <v>45.25</v>
      </c>
      <c r="H18" s="849">
        <f>SUBTOTAL(9,H15:H17)</f>
        <v>11</v>
      </c>
      <c r="I18" s="850">
        <f>IF(ISNUMBER(H18/B18),H18/B18," - ")</f>
        <v>2.75</v>
      </c>
      <c r="BZ18" s="1186"/>
    </row>
    <row r="19" spans="1:78" ht="14.25" thickTop="1" thickBot="1">
      <c r="A19" s="793" t="str">
        <f>Datos!A19</f>
        <v>TOTAL JURISDICCIONES</v>
      </c>
      <c r="B19" s="794">
        <f>Datos!AP19</f>
        <v>4</v>
      </c>
      <c r="C19" s="794">
        <f>Datos!AR19</f>
        <v>4</v>
      </c>
      <c r="D19" s="794">
        <f>SUBTOTAL(9,D8:D18)</f>
        <v>178</v>
      </c>
      <c r="E19" s="795">
        <f>IF(ISNUMBER(D19/B19),D19/B19," - ")</f>
        <v>44.5</v>
      </c>
      <c r="F19" s="794">
        <f>SUBTOTAL(9,F8:F18)</f>
        <v>457</v>
      </c>
      <c r="G19" s="795">
        <f>IF(ISNUMBER(F19/B19),F19/B19," - ")</f>
        <v>114.25</v>
      </c>
      <c r="H19" s="794">
        <f>SUBTOTAL(9,H8:H18)</f>
        <v>406</v>
      </c>
      <c r="I19" s="795">
        <f>IF(ISNUMBER(H19/B19),H19/B19," - ")</f>
        <v>101.5</v>
      </c>
    </row>
    <row r="22" spans="1:78">
      <c r="A22" s="391" t="str">
        <f>Criterios!A4</f>
        <v>Fecha Informe: 27 feb. 2025</v>
      </c>
    </row>
    <row r="27" spans="1:78">
      <c r="A27" s="414"/>
    </row>
  </sheetData>
  <sheetProtection algorithmName="SHA-512" hashValue="Q6ZvK2d0EmiJDZw4p0aX7a416Z3LpXJywfmIC5giYX7yoFoHqi6SWER0zuNYTfGaJmONSZCZ45+iZ2iuTx6aaQ==" saltValue="XiJVCZNDSUSrJpLap/aC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VILLAJOYOSA-VILA JOIOSA, LA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177</v>
      </c>
      <c r="C12" s="434">
        <f>IF(ISNUMBER(Datos!Q12),Datos!Q12," - ")</f>
        <v>173</v>
      </c>
      <c r="D12" s="408">
        <f>IF(ISNUMBER(Datos!R12),Datos!R12," - ")</f>
        <v>5950</v>
      </c>
    </row>
    <row r="13" spans="1:4" ht="14.25" thickTop="1" thickBot="1">
      <c r="A13" s="848" t="str">
        <f>Datos!A13</f>
        <v>TOTAL</v>
      </c>
      <c r="B13" s="849">
        <f>SUBTOTAL(9,B9:B12)</f>
        <v>177</v>
      </c>
      <c r="C13" s="853">
        <f>SUBTOTAL(9,C9:C12)</f>
        <v>173</v>
      </c>
      <c r="D13" s="851">
        <f>SUBTOTAL(9,D9:D12)</f>
        <v>5951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13</v>
      </c>
      <c r="D16" s="408">
        <f>IF(ISNUMBER(Datos!R16),Datos!R16," - ")</f>
        <v>197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13</v>
      </c>
      <c r="D18" s="851">
        <f>SUBTOTAL(9,D15:D17)</f>
        <v>197</v>
      </c>
    </row>
    <row r="19" spans="1:4" ht="16.5" customHeight="1" thickTop="1" thickBot="1">
      <c r="A19" s="793" t="str">
        <f>Datos!A19</f>
        <v>TOTAL JURISDICCIONES</v>
      </c>
      <c r="B19" s="798">
        <f>SUBTOTAL(9,B8:B18)</f>
        <v>194</v>
      </c>
      <c r="C19" s="799">
        <f>SUBTOTAL(9,C8:C18)</f>
        <v>186</v>
      </c>
      <c r="D19" s="800">
        <f>SUBTOTAL(9,D8:D18)</f>
        <v>6148</v>
      </c>
    </row>
    <row r="20" spans="1:4" ht="7.5" customHeight="1"/>
    <row r="21" spans="1:4" ht="6" customHeight="1"/>
    <row r="22" spans="1:4">
      <c r="A22" s="391" t="str">
        <f>Criterios!A4</f>
        <v>Fecha Informe: 27 feb. 2025</v>
      </c>
    </row>
    <row r="27" spans="1:4">
      <c r="A27" s="414"/>
    </row>
  </sheetData>
  <sheetProtection algorithmName="SHA-512" hashValue="hRPOmQGCos6ak4Jv8zgkGlOXrqqYwIzRRQ9ddR12wO//8Yj331PXdfBYkSY4RadHeSE6cq17OyDe0qoW7/z7nw==" saltValue="lH13e+bBCuFQVQ5WkgOj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VILLAJOYOSA-VILA JOIOSA, LA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0.27715961966417157</v>
      </c>
      <c r="C12" s="456">
        <f>IF(ISNUMBER(
   IF(J_V="SI",(Datos!J12-Datos!T12)/Datos!T12,(Datos!J12+Datos!Z12-(Datos!T12+Datos!AH12))/(Datos!T12+Datos!AH12))
     ),IF(J_V="SI",(Datos!J12-Datos!T12)/Datos!T12,(Datos!J12+Datos!Z12-(Datos!T12+Datos!AH12))/(Datos!T12+Datos!AH12))," - ")</f>
        <v>-0.11003236245954692</v>
      </c>
      <c r="D12" s="456">
        <f>IF(ISNUMBER(
   IF(J_V="SI",(Datos!K12-Datos!U12)/Datos!U12,(Datos!K12+Datos!AA12-(Datos!U12+Datos!AI12))/(Datos!U12+Datos!AI12))
     ),IF(J_V="SI",(Datos!K12-Datos!U12)/Datos!U12,(Datos!K12+Datos!AA12-(Datos!U12+Datos!AI12))/(Datos!U12+Datos!AI12))," - ")</f>
        <v>-1.634320735444331E-2</v>
      </c>
      <c r="E12" s="456">
        <f>IF(ISNUMBER(
   IF(J_V="SI",(Datos!L12-Datos!V12)/Datos!V12,(Datos!L12+Datos!AB12-(Datos!V12+Datos!AJ12))/(Datos!V12+Datos!AJ12))
     ),IF(J_V="SI",(Datos!L12-Datos!V12)/Datos!V12,(Datos!L12+Datos!AB12-(Datos!V12+Datos!AJ12))/(Datos!V12+Datos!AJ12))," - ")</f>
        <v>0.24038461538461539</v>
      </c>
      <c r="F12" s="456">
        <f>IF(ISNUMBER((Datos!M12-Datos!W12)/Datos!W12),(Datos!M12-Datos!W12)/Datos!W12," - ")</f>
        <v>-0.49047619047619045</v>
      </c>
      <c r="G12" s="457">
        <f>IF(ISNUMBER((Datos!N12-Datos!X12)/Datos!X12),(Datos!N12-Datos!X12)/Datos!X12," - ")</f>
        <v>0.6428571428571429</v>
      </c>
      <c r="H12" s="455">
        <f>IF(ISNUMBER(((NºAsuntos!G12/NºAsuntos!E12)-Datos!BD12)/Datos!BD12),((NºAsuntos!G12/NºAsuntos!E12)-Datos!BD12)/Datos!BD12," - ")</f>
        <v>0.10527254155446185</v>
      </c>
      <c r="I12" s="456">
        <f>IF(ISNUMBER(((NºAsuntos!I12/NºAsuntos!G12)-Datos!BE12)/Datos!BE12),((NºAsuntos!I12/NºAsuntos!G12)-Datos!BE12)/Datos!BE12," - ")</f>
        <v>0.26099329019889772</v>
      </c>
      <c r="J12" s="461">
        <f>IF(ISNUMBER((('Resol  Asuntos'!D12/NºAsuntos!G12)-Datos!BF12)/Datos!BF12),(('Resol  Asuntos'!D12/NºAsuntos!G12)-Datos!BF12)/Datos!BF12," - ")</f>
        <v>-0.35251322751322761</v>
      </c>
      <c r="K12" s="462">
        <f>IF(ISNUMBER((((NºAsuntos!C12+NºAsuntos!E12)/NºAsuntos!G12)-Datos!BG12)/Datos!BG12),(((NºAsuntos!C12+NºAsuntos!E12)/NºAsuntos!G12)-Datos!BG12)/Datos!BG12," - ")</f>
        <v>0.21964154540124101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0.27748585286984639</v>
      </c>
      <c r="C13" s="855">
        <f>IF(ISNUMBER(
   IF(J_V="SI",(Datos!J13-Datos!T13)/Datos!T13,(Datos!J13+Datos!Z13-(Datos!T13+Datos!AH13))/(Datos!T13+Datos!AH13))
     ),IF(J_V="SI",(Datos!J13-Datos!T13)/Datos!T13,(Datos!J13+Datos!Z13-(Datos!T13+Datos!AH13))/(Datos!T13+Datos!AH13))," - ")</f>
        <v>-0.10922330097087378</v>
      </c>
      <c r="D13" s="855">
        <f>IF(ISNUMBER(
   IF(J_V="SI",(Datos!K13-Datos!U13)/Datos!U13,(Datos!K13+Datos!AA13-(Datos!U13+Datos!AI13))/(Datos!U13+Datos!AI13))
     ),IF(J_V="SI",(Datos!K13-Datos!U13)/Datos!U13,(Datos!K13+Datos!AA13-(Datos!U13+Datos!AI13))/(Datos!U13+Datos!AI13))," - ")</f>
        <v>-1.5321756894790603E-2</v>
      </c>
      <c r="E13" s="855">
        <f>IF(ISNUMBER(
   IF(J_V="SI",(Datos!L13-Datos!V13)/Datos!V13,(Datos!L13+Datos!AB13-(Datos!V13+Datos!AJ13))/(Datos!V13+Datos!AJ13))
     ),IF(J_V="SI",(Datos!L13-Datos!V13)/Datos!V13,(Datos!L13+Datos!AB13-(Datos!V13+Datos!AJ13))/(Datos!V13+Datos!AJ13))," - ")</f>
        <v>0.24073006724303556</v>
      </c>
      <c r="F13" s="856">
        <f>IF(ISNUMBER((Datos!M13-Datos!W13)/Datos!W13),(Datos!M13-Datos!W13)/Datos!W13," - ")</f>
        <v>-0.48571428571428571</v>
      </c>
      <c r="G13" s="857">
        <f>IF(ISNUMBER((Datos!N13-Datos!X13)/Datos!X13),(Datos!N13-Datos!X13)/Datos!X13," - ")</f>
        <v>0.6428571428571429</v>
      </c>
      <c r="H13" s="857">
        <f>IF(ISNUMBER(((NºAsuntos!G13/NºAsuntos!E13)-Datos!BD13)/Datos!BD13),((NºAsuntos!G13/NºAsuntos!E13)-Datos!BD13)/Datos!BD13," - ")</f>
        <v>0.10541535738241489</v>
      </c>
      <c r="I13" s="857">
        <f>IF(ISNUMBER(((NºAsuntos!I13/NºAsuntos!G13)-Datos!BE13)/Datos!BE13),((NºAsuntos!I13/NºAsuntos!G13)-Datos!BE13)/Datos!BE13," - ")</f>
        <v>0.26003603301963879</v>
      </c>
      <c r="J13" s="857">
        <f>IF(ISNUMBER((('Resol  Asuntos'!D13/NºAsuntos!G13)-Datos!BF13)/Datos!BF13),(('Resol  Asuntos'!D13/NºAsuntos!G13)-Datos!BF13)/Datos!BF13," - ")</f>
        <v>-0.34713989330171902</v>
      </c>
      <c r="K13" s="857">
        <f>IF(ISNUMBER((((NºAsuntos!C13+NºAsuntos!E13)/NºAsuntos!G13)-Datos!BG13)/Datos!BG13),(((NºAsuntos!C13+NºAsuntos!E13)/NºAsuntos!G13)-Datos!BG13)/Datos!BG13," - ")</f>
        <v>0.21886926776636803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0.5390625</v>
      </c>
      <c r="C16" s="456">
        <f>IF(ISNUMBER(
   IF(D_I="SI",(Datos!J16-Datos!T16)/Datos!T16,(Datos!J16+Datos!AD16-(Datos!T16+Datos!AL16))/(Datos!T16+Datos!AL16))
     ),IF(D_I="SI",(Datos!J16-Datos!T16)/Datos!T16,(Datos!J16+Datos!AD16-(Datos!T16+Datos!AL16))/(Datos!T16+Datos!AL16))," - ")</f>
        <v>-0.14925373134328357</v>
      </c>
      <c r="D16" s="456">
        <f>IF(ISNUMBER(
   IF(D_I="SI",(Datos!K16-Datos!U16)/Datos!U16,(Datos!K16+Datos!AE16-(Datos!U16+Datos!AM16))/(Datos!U16+Datos!AM16))
     ),IF(D_I="SI",(Datos!K16-Datos!U16)/Datos!U16,(Datos!K16+Datos!AE16-(Datos!U16+Datos!AM16))/(Datos!U16+Datos!AM16))," - ")</f>
        <v>-0.50767263427109977</v>
      </c>
      <c r="E16" s="456">
        <f>IF(ISNUMBER(
   IF(D_I="SI",(Datos!L16-Datos!V16)/Datos!V16,(Datos!L16+Datos!AF16-(Datos!V16+Datos!AN16))/(Datos!V16+Datos!AN16))
     ),IF(D_I="SI",(Datos!L16-Datos!V16)/Datos!V16,(Datos!L16+Datos!AF16-(Datos!V16+Datos!AN16))/(Datos!V16+Datos!AN16))," - ")</f>
        <v>0.67384615384615387</v>
      </c>
      <c r="F16" s="456">
        <f>IF(ISNUMBER((Datos!M16-Datos!W16)/Datos!W16),(Datos!M16-Datos!W16)/Datos!W16," - ")</f>
        <v>-0.35514018691588783</v>
      </c>
      <c r="G16" s="457">
        <f>IF(ISNUMBER((Datos!N16-Datos!X16)/Datos!X16),(Datos!N16-Datos!X16)/Datos!X16," - ")</f>
        <v>-0.61241970021413272</v>
      </c>
      <c r="H16" s="455">
        <f>IF(ISNUMBER(((NºAsuntos!G16/NºAsuntos!E16)-Datos!BD16)/Datos!BD16),((NºAsuntos!G16/NºAsuntos!E16)-Datos!BD16)/Datos!BD16," - ")</f>
        <v>-0.42129941221339789</v>
      </c>
      <c r="I16" s="456">
        <f>IF(ISNUMBER(((NºAsuntos!I16/NºAsuntos!G16)-Datos!BE16)/Datos!BE16),((NºAsuntos!I16/NºAsuntos!G16)-Datos!BE16)/Datos!BE16," - ")</f>
        <v>2.3998641358641359</v>
      </c>
      <c r="J16" s="461">
        <f>IF(ISNUMBER((('Resol  Asuntos'!D16/NºAsuntos!G16)-Datos!BF16)/Datos!BF16),(('Resol  Asuntos'!D16/NºAsuntos!G16)-Datos!BF16)/Datos!BF16," - ")</f>
        <v>0.3098191528098071</v>
      </c>
      <c r="K16" s="462">
        <f>IF(ISNUMBER((((NºAsuntos!C16+NºAsuntos!E16)/NºAsuntos!G16)-Datos!BG16)/Datos!BG16),(((NºAsuntos!C16+NºAsuntos!E16)/NºAsuntos!G16)-Datos!BG16)/Datos!BG16," - ")</f>
        <v>1.6201824764350732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-0.18181818181818182</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-0.19277108433734941</v>
      </c>
      <c r="F17" s="456">
        <f>IF(ISNUMBER((Datos!M17-Datos!W17)/Datos!W17),(Datos!M17-Datos!W17)/Datos!W17," - ")</f>
        <v>-0.66666666666666663</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-0.19277108433734944</v>
      </c>
      <c r="J17" s="461">
        <f>IF(ISNUMBER((('Resol  Asuntos'!D17/NºAsuntos!G17)-Datos!BF17)/Datos!BF17),(('Resol  Asuntos'!D17/NºAsuntos!G17)-Datos!BF17)/Datos!BF17," - ")</f>
        <v>-0.66666666666666663</v>
      </c>
      <c r="K17" s="462">
        <f>IF(ISNUMBER((((NºAsuntos!C17+NºAsuntos!E17)/NºAsuntos!G17)-Datos!BG17)/Datos!BG17),(((NºAsuntos!C17+NºAsuntos!E17)/NºAsuntos!G17)-Datos!BG17)/Datos!BG17," - ")</f>
        <v>-0.18181818181818185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v>
      </c>
      <c r="C18" s="855">
        <f>IF(ISNUMBER(
   IF(Criterios!B14="SI",(Datos!J18-Datos!T18)/Datos!T18,(Datos!J18+Datos!AD18-(Datos!T18+Datos!AL18))/(Datos!T18+Datos!AL18))
     ),IF(Criterios!B14="SI",(Datos!J18-Datos!T18)/Datos!T18,(Datos!J18+Datos!AD18-(Datos!T18+Datos!AL18))/(Datos!T18+Datos!AL18))," - ")</f>
        <v>-0.14925373134328357</v>
      </c>
      <c r="D18" s="855">
        <f>IF(ISNUMBER(
   IF(Criterios!B14="SI",(Datos!K18-Datos!U18)/Datos!U18,(Datos!K18+Datos!AE18-(Datos!U18+Datos!AM18))/(Datos!U18+Datos!AM18))
     ),IF(Criterios!B14="SI",(Datos!K18-Datos!U18)/Datos!U18,(Datos!K18+Datos!AE18-(Datos!U18+Datos!AM18))/(Datos!U18+Datos!AM18))," - ")</f>
        <v>-0.50444726810673446</v>
      </c>
      <c r="E18" s="855">
        <f>IF(ISNUMBER(
   IF(Criterios!B14="SI",(Datos!L18-Datos!V18)/Datos!V18,(Datos!L18+Datos!AF18-(Datos!V18+Datos!AN18))/(Datos!V18+Datos!AN18))
     ),IF(Criterios!B14="SI",(Datos!L18-Datos!V18)/Datos!V18,(Datos!L18+Datos!AF18-(Datos!V18+Datos!AN18))/(Datos!V18+Datos!AN18))," - ")</f>
        <v>0.63173302107728335</v>
      </c>
      <c r="F18" s="856">
        <f>IF(ISNUMBER((Datos!M18-Datos!W18)/Datos!W18),(Datos!M18-Datos!W18)/Datos!W18," - ")</f>
        <v>-0.36363636363636365</v>
      </c>
      <c r="G18" s="857">
        <f>IF(ISNUMBER((Datos!N18-Datos!X18)/Datos!X18),(Datos!N18-Datos!X18)/Datos!X18," - ")</f>
        <v>-0.61407249466950964</v>
      </c>
      <c r="H18" s="857">
        <f>IF(ISNUMBER(((NºAsuntos!G18/NºAsuntos!E18)-Datos!BD18)/Datos!BD18),((NºAsuntos!G18/NºAsuntos!E18)-Datos!BD18)/Datos!BD18," - ")</f>
        <v>-0.41750819233598613</v>
      </c>
      <c r="I18" s="857">
        <f>IF(ISNUMBER(((NºAsuntos!I18/NºAsuntos!G18)-Datos!BE18)/Datos!BE18),((NºAsuntos!I18/NºAsuntos!G18)-Datos!BE18)/Datos!BE18," - ")</f>
        <v>2.2927535579174925</v>
      </c>
      <c r="J18" s="857">
        <f>IF(ISNUMBER((('Resol  Asuntos'!D18/NºAsuntos!G18)-Datos!BF18)/Datos!BF18),(('Resol  Asuntos'!D18/NºAsuntos!G18)-Datos!BF18)/Datos!BF18," - ")</f>
        <v>0.28414918414918411</v>
      </c>
      <c r="K18" s="857">
        <f>IF(ISNUMBER((((NºAsuntos!C18+NºAsuntos!E18)/NºAsuntos!G18)-Datos!BG18)/Datos!BG18),(((NºAsuntos!C18+NºAsuntos!E18)/NºAsuntos!G18)-Datos!BG18)/Datos!BG18," - ")</f>
        <v>1.5695483274240791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0.33247108947048082</v>
      </c>
      <c r="C19" s="802">
        <f>IF(ISNUMBER(
   IF(J_V="SI",(Datos!J19-Datos!T19)/Datos!T19,(Datos!J19+Datos!Z19-(Datos!T19+Datos!AH19))/(Datos!T19+Datos!AH19))
     ),IF(J_V="SI",(Datos!J19-Datos!T19)/Datos!T19,(Datos!J19+Datos!Z19-(Datos!T19+Datos!AH19))/(Datos!T19+Datos!AH19))," - ")</f>
        <v>-0.12577123872804935</v>
      </c>
      <c r="D19" s="802">
        <f>IF(ISNUMBER(
   IF(J_V="SI",(Datos!K19-Datos!U19)/Datos!U19,(Datos!K19+Datos!AA19-(Datos!U19+Datos!AI19))/(Datos!U19+Datos!AI19))
     ),IF(J_V="SI",(Datos!K19-Datos!U19)/Datos!U19,(Datos!K19+Datos!AA19-(Datos!U19+Datos!AI19))/(Datos!U19+Datos!AI19))," - ")</f>
        <v>-0.2332955832389581</v>
      </c>
      <c r="E19" s="802">
        <f>IF(ISNUMBER(
   IF(J_V="SI",(Datos!L19-Datos!V19)/Datos!V19,(Datos!L19+Datos!AB19-(Datos!V19+Datos!AJ19))/(Datos!V19+Datos!AJ19))
     ),IF(J_V="SI",(Datos!L19-Datos!V19)/Datos!V19,(Datos!L19+Datos!AB19-(Datos!V19+Datos!AJ19))/(Datos!V19+Datos!AJ19))," - ")</f>
        <v>0.33733545493996819</v>
      </c>
      <c r="F19" s="803">
        <f>IF(ISNUMBER((Datos!M19-Datos!W19)/Datos!W19),(Datos!M19-Datos!W19)/Datos!W19," - ")</f>
        <v>-0.44374999999999998</v>
      </c>
      <c r="G19" s="804">
        <f>IF(ISNUMBER((Datos!N19-Datos!X19)/Datos!X19),(Datos!N19-Datos!X19)/Datos!X19," - ")</f>
        <v>-0.28257456828885402</v>
      </c>
      <c r="H19" s="805">
        <f>IF(ISNUMBER((Tasas!B19-Datos!BD19)/Datos!BD19),(Tasas!B19-Datos!BD19)/Datos!BD19," - ")</f>
        <v>-0.12299337344434573</v>
      </c>
      <c r="I19" s="806">
        <f>IF(ISNUMBER((Tasas!C19-Datos!BE19)/Datos!BE19),(Tasas!C19-Datos!BE19)/Datos!BE19," - ")</f>
        <v>0.74426470710781678</v>
      </c>
      <c r="J19" s="807">
        <f>IF(ISNUMBER((Tasas!D19-Datos!BF19)/Datos!BF19),(Tasas!D19-Datos!BF19)/Datos!BF19," - ")</f>
        <v>-0.16488315994176594</v>
      </c>
      <c r="K19" s="807">
        <f>IF(ISNUMBER((Tasas!E19-Datos!BG19)/Datos!BG19),(Tasas!E19-Datos!BG19)/Datos!BG19," - ")</f>
        <v>0.59282197490912969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QVVeNjA6aGA/UPvwUgp6Nq+jgFVWauFb6iv0079sHkh4yc/gepmGilmU1Bv82Gz7XhSJIzMg38ERa6MrgjegQ==" saltValue="tz8Mx05Xq5lnGwDhK5/8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VILLAJOYOSA-VILA JOIOSA, LA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8</v>
      </c>
      <c r="D10" s="444">
        <f>IF(ISNUMBER('Resol  Asuntos'!D10/NºAsuntos!G10),'Resol  Asuntos'!D10/NºAsuntos!G10," - ")</f>
        <v>1</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0.87545454545454549</v>
      </c>
      <c r="C12" s="443">
        <f>IF(ISNUMBER(NºAsuntos!I12/NºAsuntos!G12),NºAsuntos!I12/NºAsuntos!G12," - ")</f>
        <v>6.6978193146417446</v>
      </c>
      <c r="D12" s="444">
        <f>IF(ISNUMBER('Resol  Asuntos'!D12/NºAsuntos!G12),'Resol  Asuntos'!D12/NºAsuntos!G12," - ")</f>
        <v>0.1111111111111111</v>
      </c>
      <c r="E12" s="445">
        <f>IF(ISNUMBER((NºAsuntos!C12+NºAsuntos!E12)/NºAsuntos!G12),(NºAsuntos!C12+NºAsuntos!E12)/NºAsuntos!G12," - ")</f>
        <v>7.6978193146417446</v>
      </c>
      <c r="G12" s="463"/>
    </row>
    <row r="13" spans="1:7" ht="14.25" thickTop="1" thickBot="1">
      <c r="A13" s="848" t="str">
        <f>Datos!A13</f>
        <v>TOTAL</v>
      </c>
      <c r="B13" s="858">
        <f>IF(ISNUMBER(NºAsuntos!G13/NºAsuntos!E13),NºAsuntos!G13/NºAsuntos!E13," - ")</f>
        <v>0.8755676657584015</v>
      </c>
      <c r="C13" s="859">
        <f>IF(ISNUMBER(NºAsuntos!I13/NºAsuntos!G13),NºAsuntos!I13/NºAsuntos!G13," - ")</f>
        <v>6.699170124481328</v>
      </c>
      <c r="D13" s="860">
        <f>IF(ISNUMBER('Resol  Asuntos'!D13/NºAsuntos!G13),'Resol  Asuntos'!D13/NºAsuntos!G13," - ")</f>
        <v>0.11203319502074689</v>
      </c>
      <c r="E13" s="861">
        <f>IF(ISNUMBER((NºAsuntos!C13+NºAsuntos!E13)/NºAsuntos!G13),(NºAsuntos!C13+NºAsuntos!E13)/NºAsuntos!G13," - ")</f>
        <v>7.699170124481328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0.51956815114709853</v>
      </c>
      <c r="C16" s="443">
        <f>IF(ISNUMBER(NºAsuntos!I16/NºAsuntos!G16),NºAsuntos!I16/NºAsuntos!G16," - ")</f>
        <v>7.0649350649350646</v>
      </c>
      <c r="D16" s="444">
        <f>IF(ISNUMBER('Resol  Asuntos'!D16/NºAsuntos!G16),'Resol  Asuntos'!D16/NºAsuntos!G16," - ")</f>
        <v>0.17922077922077922</v>
      </c>
      <c r="E16" s="445">
        <f>IF(ISNUMBER((NºAsuntos!C16+NºAsuntos!E16)/NºAsuntos!G16),(NºAsuntos!C16+NºAsuntos!E16)/NºAsuntos!G16," - ")</f>
        <v>8.0649350649350655</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13.4</v>
      </c>
      <c r="D17" s="444">
        <f>IF(ISNUMBER('Resol  Asuntos'!D17/NºAsuntos!G17),'Resol  Asuntos'!D17/NºAsuntos!G17," - ")</f>
        <v>0.2</v>
      </c>
      <c r="E17" s="445">
        <f>IF(ISNUMBER((NºAsuntos!C17+NºAsuntos!E17)/NºAsuntos!G17),(NºAsuntos!C17+NºAsuntos!E17)/NºAsuntos!G17," - ")</f>
        <v>14.4</v>
      </c>
      <c r="G17" s="463"/>
    </row>
    <row r="18" spans="1:7" ht="14.25" thickTop="1" thickBot="1">
      <c r="A18" s="848" t="str">
        <f>Datos!A18</f>
        <v>TOTAL</v>
      </c>
      <c r="B18" s="858">
        <f>IF(ISNUMBER(NºAsuntos!G18/NºAsuntos!E18),NºAsuntos!G18/NºAsuntos!E18," - ")</f>
        <v>0.52631578947368418</v>
      </c>
      <c r="C18" s="859">
        <f>IF(ISNUMBER(NºAsuntos!I18/NºAsuntos!G18),NºAsuntos!I18/NºAsuntos!G18," - ")</f>
        <v>7.1461538461538465</v>
      </c>
      <c r="D18" s="862">
        <f>IF(ISNUMBER('Resol  Asuntos'!D18/NºAsuntos!G18),'Resol  Asuntos'!D18/NºAsuntos!G18," - ")</f>
        <v>0.17948717948717949</v>
      </c>
      <c r="E18" s="861">
        <f>IF(ISNUMBER((NºAsuntos!C18+NºAsuntos!E18)/NºAsuntos!G18),(NºAsuntos!C18+NºAsuntos!E18)/NºAsuntos!G18," - ")</f>
        <v>8.1461538461538456</v>
      </c>
      <c r="G18" s="463"/>
    </row>
    <row r="19" spans="1:7" ht="15.75" customHeight="1" thickTop="1" thickBot="1">
      <c r="A19" s="793" t="str">
        <f>Datos!A19</f>
        <v>TOTAL JURISDICCIONES</v>
      </c>
      <c r="B19" s="808">
        <f>IF(ISNUMBER(NºAsuntos!G19/NºAsuntos!E19),NºAsuntos!G19/NºAsuntos!E19," - ")</f>
        <v>0.73507057546145493</v>
      </c>
      <c r="C19" s="809">
        <f>IF(ISNUMBER(NºAsuntos!I19/NºAsuntos!G19),NºAsuntos!I19/NºAsuntos!G19," - ")</f>
        <v>6.8279172821270313</v>
      </c>
      <c r="D19" s="810">
        <f>IF(ISNUMBER('Resol  Asuntos'!D19/NºAsuntos!G19),'Resol  Asuntos'!D19/NºAsuntos!G19," - ")</f>
        <v>0.13146233382570163</v>
      </c>
      <c r="E19" s="811">
        <f>IF(ISNUMBER((NºAsuntos!C19+NºAsuntos!E19)/NºAsuntos!G19),(NºAsuntos!C19+NºAsuntos!E19)/NºAsuntos!G19," - ")</f>
        <v>7.8279172821270313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Cof2BXrrH1LhNQIGdw8iX1u391vyyvGyOE2FkmXDO9zOstJt5napa0NCLz+dc1D2oyQEVO2HbHwjZxhKK0pjg==" saltValue="NoGaa82BMcCOM8yGtnQU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VILLAJOYOSA-VILA JOIOSA,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8</v>
      </c>
      <c r="AB10" s="334">
        <f>IF(ISNUMBER(Datos!R10),Datos!R10," - ")</f>
        <v>1</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24</v>
      </c>
      <c r="AN10" s="244">
        <f>IF(ISNUMBER('Resol  Asuntos'!D10/NºAsuntos!G10),'Resol  Asuntos'!D10/NºAsuntos!G10," - ")</f>
        <v>1</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173</v>
      </c>
      <c r="Y12" s="334">
        <f t="shared" si="0"/>
        <v>173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107</v>
      </c>
      <c r="AJ12" s="229" t="str">
        <f>IF(ISNUMBER(Datos!BW12),Datos!BW12," - ")</f>
        <v xml:space="preserve"> - </v>
      </c>
      <c r="AK12" s="228" t="str">
        <f>IF(ISNUMBER(Datos!BX12),Datos!BX12," - ")</f>
        <v xml:space="preserve"> - </v>
      </c>
      <c r="AL12" s="243">
        <f>IF(ISNUMBER(NºAsuntos!G12/NºAsuntos!E12),NºAsuntos!G12/NºAsuntos!E12," - ")</f>
        <v>0.87545454545454549</v>
      </c>
      <c r="AM12" s="260">
        <f>IF(ISNUMBER(((NºAsuntos!I12/NºAsuntos!G12)*11)/factor_trimestre),((NºAsuntos!I12/NºAsuntos!G12)*11)/factor_trimestre," - ")</f>
        <v>20.093457943925234</v>
      </c>
      <c r="AN12" s="244">
        <f>IF(ISNUMBER('Resol  Asuntos'!D12/NºAsuntos!G12),'Resol  Asuntos'!D12/NºAsuntos!G12," - ")</f>
        <v>0.1111111111111111</v>
      </c>
      <c r="AO12" s="245">
        <f>IF(ISNUMBER((NºAsuntos!C12+NºAsuntos!E12)/NºAsuntos!G12),(NºAsuntos!C12+NºAsuntos!E12)/NºAsuntos!G12," - ")</f>
        <v>7.6978193146417446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8</v>
      </c>
      <c r="G13" s="866">
        <f t="shared" si="3"/>
        <v>8</v>
      </c>
      <c r="H13" s="865">
        <f t="shared" si="3"/>
        <v>0</v>
      </c>
      <c r="I13" s="867">
        <f t="shared" si="3"/>
        <v>0</v>
      </c>
      <c r="J13" s="867">
        <f t="shared" si="3"/>
        <v>0</v>
      </c>
      <c r="K13" s="867">
        <f t="shared" si="3"/>
        <v>0</v>
      </c>
      <c r="L13" s="867">
        <f t="shared" si="3"/>
        <v>177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173</v>
      </c>
      <c r="Y13" s="868">
        <f t="shared" si="4"/>
        <v>174</v>
      </c>
      <c r="Z13" s="868">
        <f t="shared" si="4"/>
        <v>0</v>
      </c>
      <c r="AA13" s="868">
        <f t="shared" si="4"/>
        <v>8</v>
      </c>
      <c r="AB13" s="868">
        <f t="shared" si="4"/>
        <v>5951</v>
      </c>
      <c r="AC13" s="868">
        <f t="shared" si="4"/>
        <v>9</v>
      </c>
      <c r="AD13" s="868">
        <f t="shared" si="4"/>
        <v>0</v>
      </c>
      <c r="AE13" s="872">
        <f t="shared" si="4"/>
        <v>0</v>
      </c>
      <c r="AF13" s="865">
        <f t="shared" si="4"/>
        <v>0</v>
      </c>
      <c r="AG13" s="873">
        <f t="shared" si="4"/>
        <v>0</v>
      </c>
      <c r="AH13" s="870">
        <f t="shared" si="4"/>
        <v>0</v>
      </c>
      <c r="AI13" s="865">
        <f t="shared" si="4"/>
        <v>108</v>
      </c>
      <c r="AJ13" s="867">
        <f t="shared" si="4"/>
        <v>0</v>
      </c>
      <c r="AK13" s="870">
        <f>SUBTOTAL(9,AK9:AK12)</f>
        <v>0</v>
      </c>
      <c r="AL13" s="874">
        <f>IF(ISNUMBER(NºAsuntos!G13/NºAsuntos!E13),NºAsuntos!G13/NºAsuntos!E13," - ")</f>
        <v>0.8755676657584015</v>
      </c>
      <c r="AM13" s="874">
        <f>IF(ISNUMBER(((NºAsuntos!I13/NºAsuntos!G13)*11)/factor_trimestre),((NºAsuntos!I13/NºAsuntos!G13)*11)/factor_trimestre," - ")</f>
        <v>20.097510373443985</v>
      </c>
      <c r="AN13" s="875">
        <f>IF(ISNUMBER('Resol  Asuntos'!D13/NºAsuntos!G13),'Resol  Asuntos'!D13/NºAsuntos!G13," - ")</f>
        <v>0.11203319502074689</v>
      </c>
      <c r="AO13" s="876">
        <f>IF(ISNUMBER((NºAsuntos!C13+NºAsuntos!E13)/NºAsuntos!G13),(NºAsuntos!C13+NºAsuntos!E13)/NºAsuntos!G13," - ")</f>
        <v>7.699170124481328</v>
      </c>
      <c r="AP13" s="877" t="str">
        <f t="shared" si="2"/>
        <v xml:space="preserve"> - </v>
      </c>
      <c r="AQ13" s="877">
        <f>IF(ISNUMBER((H13-W13+K13)/(F13)),(H13-W13+K13)/(F13)," - ")</f>
        <v>-0.125</v>
      </c>
      <c r="AR13" s="878">
        <f>IF(ISNUMBER((Datos!P13-Datos!Q13)/(Datos!R13-Datos!P13+Datos!Q13)),(Datos!P13-Datos!Q13)/(Datos!R13-Datos!P13+Datos!Q13)," - ")</f>
        <v>6.7260803766605007E-4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2364</v>
      </c>
      <c r="G16" s="333">
        <f>IF(ISNUMBER(IF(D_I="SI",Datos!I16,Datos!I16+Datos!AC16)),IF(D_I="SI",Datos!I16,Datos!I16+Datos!AC16)," - ")</f>
        <v>2364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385</v>
      </c>
      <c r="X16" s="226">
        <f>IF(ISNUMBER(Datos!Q16),Datos!Q16," - ")</f>
        <v>13</v>
      </c>
      <c r="Y16" s="334">
        <f t="shared" ref="Y16:Y17" si="7">SUM(W16:X16)</f>
        <v>398</v>
      </c>
      <c r="Z16" s="335" t="str">
        <f>IF(ISNUMBER(Datos!CC16),Datos!CC16," - ")</f>
        <v xml:space="preserve"> - </v>
      </c>
      <c r="AA16" s="332">
        <f>IF(ISNUMBER(IF(D_I="SI",Datos!L16,Datos!L16+Datos!AF16)),IF(D_I="SI",Datos!L16,Datos!L16+Datos!AF16)," - ")</f>
        <v>2720</v>
      </c>
      <c r="AB16" s="334">
        <f>IF(ISNUMBER(Datos!R16),Datos!R16," - ")</f>
        <v>197</v>
      </c>
      <c r="AC16" s="334">
        <f t="shared" si="6"/>
        <v>2917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69</v>
      </c>
      <c r="AJ16" s="231" t="str">
        <f>IF(ISNUMBER(Datos!BW16),Datos!BW16," - ")</f>
        <v xml:space="preserve"> - </v>
      </c>
      <c r="AK16" s="232" t="str">
        <f>IF(ISNUMBER(Datos!BX16),Datos!BX16," - ")</f>
        <v xml:space="preserve"> - </v>
      </c>
      <c r="AL16" s="243">
        <f>IF(ISNUMBER(NºAsuntos!G16/NºAsuntos!E16),NºAsuntos!G16/NºAsuntos!E16," - ")</f>
        <v>0.51956815114709853</v>
      </c>
      <c r="AM16" s="260">
        <f>IF(ISNUMBER(((NºAsuntos!I16/NºAsuntos!G16)*11)/factor_trimestre),((NºAsuntos!I16/NºAsuntos!G16)*11)/factor_trimestre," - ")</f>
        <v>21.194805194805195</v>
      </c>
      <c r="AN16" s="244">
        <f>IF(ISNUMBER('Resol  Asuntos'!D16/NºAsuntos!G16),'Resol  Asuntos'!D16/NºAsuntos!G16," - ")</f>
        <v>0.17922077922077922</v>
      </c>
      <c r="AO16" s="245">
        <f>IF(ISNUMBER((NºAsuntos!C16+NºAsuntos!E16)/NºAsuntos!G16),(NºAsuntos!C16+NºAsuntos!E16)/NºAsuntos!G16," - ")</f>
        <v>8.0649350649350655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67</v>
      </c>
      <c r="AB17" s="334">
        <f>IF(ISNUMBER(Datos!R17),Datos!R17," - ")</f>
        <v>0</v>
      </c>
      <c r="AC17" s="334">
        <f t="shared" si="6"/>
        <v>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40.200000000000003</v>
      </c>
      <c r="AN17" s="244">
        <f>IF(ISNUMBER('Resol  Asuntos'!D17/NºAsuntos!G17),'Resol  Asuntos'!D17/NºAsuntos!G17," - ")</f>
        <v>0.2</v>
      </c>
      <c r="AO17" s="245">
        <f>IF(ISNUMBER((NºAsuntos!C17+NºAsuntos!E17)/NºAsuntos!G17),(NºAsuntos!C17+NºAsuntos!E17)/NºAsuntos!G17," - ")</f>
        <v>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2364</v>
      </c>
      <c r="G18" s="866">
        <f>SUBTOTAL(9,G15:G17)</f>
        <v>2436</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390</v>
      </c>
      <c r="X18" s="867">
        <f t="shared" si="11"/>
        <v>13</v>
      </c>
      <c r="Y18" s="868">
        <f t="shared" si="11"/>
        <v>403</v>
      </c>
      <c r="Z18" s="868">
        <f t="shared" si="11"/>
        <v>0</v>
      </c>
      <c r="AA18" s="868">
        <f t="shared" si="11"/>
        <v>2787</v>
      </c>
      <c r="AB18" s="868">
        <f t="shared" si="11"/>
        <v>197</v>
      </c>
      <c r="AC18" s="868">
        <f t="shared" si="11"/>
        <v>2984</v>
      </c>
      <c r="AD18" s="868">
        <f t="shared" si="11"/>
        <v>0</v>
      </c>
      <c r="AE18" s="872">
        <f t="shared" si="11"/>
        <v>0</v>
      </c>
      <c r="AF18" s="865">
        <f t="shared" si="11"/>
        <v>0</v>
      </c>
      <c r="AG18" s="873">
        <f t="shared" si="11"/>
        <v>0</v>
      </c>
      <c r="AH18" s="870">
        <f t="shared" si="11"/>
        <v>0</v>
      </c>
      <c r="AI18" s="865">
        <f t="shared" si="11"/>
        <v>70</v>
      </c>
      <c r="AJ18" s="867">
        <f t="shared" si="11"/>
        <v>0</v>
      </c>
      <c r="AK18" s="870">
        <f t="shared" si="11"/>
        <v>0</v>
      </c>
      <c r="AL18" s="874">
        <f>IF(ISNUMBER(NºAsuntos!G18/NºAsuntos!E18),NºAsuntos!G18/NºAsuntos!E18," - ")</f>
        <v>0.52631578947368418</v>
      </c>
      <c r="AM18" s="874">
        <f>IF(ISNUMBER(((NºAsuntos!I18/NºAsuntos!G18)*11)/factor_trimestre),((NºAsuntos!I18/NºAsuntos!G18)*11)/factor_trimestre," - ")</f>
        <v>21.438461538461542</v>
      </c>
      <c r="AN18" s="875">
        <f>IF(ISNUMBER('Resol  Asuntos'!D18/NºAsuntos!G18),'Resol  Asuntos'!D18/NºAsuntos!G18," - ")</f>
        <v>0.17948717948717949</v>
      </c>
      <c r="AO18" s="876">
        <f>IF(ISNUMBER((NºAsuntos!C18+NºAsuntos!E18)/NºAsuntos!G18),(NºAsuntos!C18+NºAsuntos!E18)/NºAsuntos!G18," - ")</f>
        <v>8.1461538461538456</v>
      </c>
      <c r="AP18" s="877" t="str">
        <f t="shared" si="2"/>
        <v xml:space="preserve"> - </v>
      </c>
      <c r="AQ18" s="877">
        <f>IF(ISNUMBER((H18-W18+K18)/(F18)),(H18-W18+K18)/(F18)," - ")</f>
        <v>-0.1649746192893401</v>
      </c>
      <c r="AR18" s="878">
        <f>IF(ISNUMBER((Datos!P18-Datos!Q18)/(Datos!R18-Datos!P18+Datos!Q18)),(Datos!P18-Datos!Q18)/(Datos!R18-Datos!P18+Datos!Q18)," - ")</f>
        <v>2.072538860103627E-2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2372</v>
      </c>
      <c r="G19" s="821">
        <f t="shared" si="13"/>
        <v>2444</v>
      </c>
      <c r="H19" s="820">
        <f t="shared" si="13"/>
        <v>0</v>
      </c>
      <c r="I19" s="822">
        <f t="shared" si="13"/>
        <v>0</v>
      </c>
      <c r="J19" s="822">
        <f t="shared" si="13"/>
        <v>0</v>
      </c>
      <c r="K19" s="881">
        <f t="shared" si="13"/>
        <v>0</v>
      </c>
      <c r="L19" s="822">
        <f t="shared" si="13"/>
        <v>194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391</v>
      </c>
      <c r="X19" s="821">
        <f t="shared" si="14"/>
        <v>186</v>
      </c>
      <c r="Y19" s="828">
        <f t="shared" si="14"/>
        <v>577</v>
      </c>
      <c r="Z19" s="828">
        <f t="shared" si="14"/>
        <v>0</v>
      </c>
      <c r="AA19" s="828">
        <f t="shared" si="14"/>
        <v>2795</v>
      </c>
      <c r="AB19" s="828">
        <f t="shared" si="14"/>
        <v>6148</v>
      </c>
      <c r="AC19" s="828">
        <f t="shared" si="14"/>
        <v>2993</v>
      </c>
      <c r="AD19" s="828">
        <f t="shared" si="14"/>
        <v>0</v>
      </c>
      <c r="AE19" s="830">
        <f t="shared" si="14"/>
        <v>0</v>
      </c>
      <c r="AF19" s="831">
        <f t="shared" si="14"/>
        <v>0</v>
      </c>
      <c r="AG19" s="832">
        <f t="shared" si="14"/>
        <v>0</v>
      </c>
      <c r="AH19" s="830">
        <f t="shared" si="14"/>
        <v>0</v>
      </c>
      <c r="AI19" s="820">
        <f t="shared" si="14"/>
        <v>178</v>
      </c>
      <c r="AJ19" s="820">
        <f t="shared" si="14"/>
        <v>0</v>
      </c>
      <c r="AK19" s="830">
        <f t="shared" si="14"/>
        <v>0</v>
      </c>
      <c r="AL19" s="884">
        <f>IF(ISNUMBER(NºAsuntos!G19/NºAsuntos!E19),NºAsuntos!G19/NºAsuntos!E19," - ")</f>
        <v>0.73507057546145493</v>
      </c>
      <c r="AM19" s="885">
        <f>IF(ISNUMBER(((NºAsuntos!I19/NºAsuntos!G19)*11)/factor_trimestre),((NºAsuntos!I19/NºAsuntos!G19)*11)/factor_trimestre," - ")</f>
        <v>20.483751846381093</v>
      </c>
      <c r="AN19" s="885">
        <f>IF(ISNUMBER('Resol  Asuntos'!D19/NºAsuntos!G19),'Resol  Asuntos'!D19/NºAsuntos!G19," - ")</f>
        <v>0.13146233382570163</v>
      </c>
      <c r="AO19" s="886">
        <f>IF(ISNUMBER((NºAsuntos!C19+NºAsuntos!E19)/NºAsuntos!G19),(NºAsuntos!C19+NºAsuntos!E19)/NºAsuntos!G19," - ")</f>
        <v>7.8279172821270313</v>
      </c>
      <c r="AP19" s="887" t="str">
        <f t="shared" si="2"/>
        <v xml:space="preserve"> - </v>
      </c>
      <c r="AQ19" s="888">
        <f>IF(OR(ISNUMBER(FIND("01",Criterios!A8,1)),ISNUMBER(FIND("02",Criterios!A8,1)),ISNUMBER(FIND("03",Criterios!A8,1)),ISNUMBER(FIND("04",Criterios!A8,1))),(I19-W19+K19)/(F19-K19),(H19-W19+K19)/(F19-K19))</f>
        <v>-0.1648397976391231</v>
      </c>
      <c r="AR19" s="889">
        <f>IF(ISNUMBER((Datos!P19-Datos!Q19)/(Datos!R19-Datos!P19+Datos!Q19)),(Datos!P19-Datos!Q19)/(Datos!R19-Datos!P19+Datos!Q19)," - ")</f>
        <v>1.3029315960912053E-3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1360.2372342107583</v>
      </c>
      <c r="G21" s="253">
        <f>IF(ISNUMBER(STDEV(G8:G18)),STDEV(G8:G18),"-")</f>
        <v>1298.9799074658545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210.97819792575726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48.276978640617791</v>
      </c>
      <c r="AJ21" s="252">
        <f t="shared" si="18"/>
        <v>0</v>
      </c>
      <c r="AK21" s="254">
        <f t="shared" si="18"/>
        <v>0</v>
      </c>
      <c r="AL21" s="249">
        <f t="shared" si="18"/>
        <v>0.22175409085730424</v>
      </c>
      <c r="AM21" s="250">
        <f t="shared" si="18"/>
        <v>7.8209559564805398</v>
      </c>
      <c r="AN21" s="250">
        <f t="shared" si="18"/>
        <v>0.346429387365219</v>
      </c>
      <c r="AO21" s="251">
        <f t="shared" si="18"/>
        <v>2.6069853188268466</v>
      </c>
      <c r="AP21" s="291" t="str">
        <f t="shared" si="18"/>
        <v>-</v>
      </c>
      <c r="AQ21" s="292">
        <f t="shared" si="18"/>
        <v>2.8266324374842985E-2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jQf53T8H4JRDfhfOM79CSDRbeq7AP7HAJRyccrMPOQ68fkQKluLV2KbYe+96Mx9Cn8Ls90Sd2e4zNRopaItDfg==" saltValue="Wu3wN9VWDrEmODTz+bVQ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VILLAJOYOSA-VILA JOIOSA, LA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-0.49047619047619045</v>
      </c>
      <c r="I12" s="350">
        <f>IF(ISNUMBER((Tasas!C12-Datos!BE12)/Datos!BE12),(Tasas!C12-Datos!BE12)/Datos!BE12," - ")</f>
        <v>0.26099329019889772</v>
      </c>
      <c r="J12" s="349">
        <f>IF(ISNUMBER((Tasas!D12-Datos!BF12)/Datos!BF12),(Tasas!D12-Datos!BF12)/Datos!BF12," - ")</f>
        <v>-0.35251322751322761</v>
      </c>
      <c r="K12" s="351">
        <f>IF(ISNUMBER((Tasas!E12-Datos!BG12)/Datos!BG12),(Tasas!E12-Datos!BG12)/Datos!BG12," - ")</f>
        <v>0.21964154540124101</v>
      </c>
      <c r="M12" t="e">
        <f>IF(Monitorios="SI",Datos!CE12,0)</f>
        <v>#REF!</v>
      </c>
      <c r="N12" t="e">
        <f>IF(Monitorios="SI",Datos!CF12,0)</f>
        <v>#REF!</v>
      </c>
      <c r="O12" t="e">
        <f>IF(Monitorios="SI",Datos!CG12,0)</f>
        <v>#REF!</v>
      </c>
      <c r="P12" t="e">
        <f>IF(Monitorios="SI",Datos!CH12,0)</f>
        <v>#REF!</v>
      </c>
      <c r="Q12">
        <f>IF(J_V="SI",0,Datos!AG12)</f>
        <v>195</v>
      </c>
      <c r="R12">
        <f>IF(J_V="SI",0,Datos!AH12)</f>
        <v>86</v>
      </c>
      <c r="S12">
        <f>IF(J_V="SI",0,Datos!AI12)</f>
        <v>120</v>
      </c>
      <c r="T12">
        <f>IF(J_V="SI",0,Datos!AJ12)</f>
        <v>161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-0.48571428571428571</v>
      </c>
      <c r="I13" s="357">
        <f>IF(ISNUMBER((Tasas!C13-Datos!BE13)/Datos!BE13),(Tasas!C13-Datos!BE13)/Datos!BE13," - ")</f>
        <v>0.26003603301963879</v>
      </c>
      <c r="J13" s="355">
        <f>IF(ISNUMBER((Tasas!D13-Datos!BF13)/Datos!BF13),(Tasas!D13-Datos!BF13)/Datos!BF13," - ")</f>
        <v>-0.34713989330171902</v>
      </c>
      <c r="K13" s="358">
        <f>IF(ISNUMBER((Tasas!E13-Datos!BG13)/Datos!BG13),(Tasas!E13-Datos!BG13)/Datos!BG13," - ")</f>
        <v>0.21886926776636803</v>
      </c>
      <c r="M13" t="e">
        <f>IF(Monitorios="SI",Datos!CE13,0)</f>
        <v>#REF!</v>
      </c>
      <c r="N13" t="e">
        <f>IF(Monitorios="SI",Datos!CF13,0)</f>
        <v>#REF!</v>
      </c>
      <c r="O13" t="e">
        <f>IF(Monitorios="SI",Datos!CG13,0)</f>
        <v>#REF!</v>
      </c>
      <c r="P13" t="e">
        <f>IF(Monitorios="SI",Datos!CH13,0)</f>
        <v>#REF!</v>
      </c>
      <c r="Q13">
        <f>IF(J_V="SI",0,Datos!AG13)</f>
        <v>195</v>
      </c>
      <c r="R13">
        <f>IF(J_V="SI",0,Datos!AH13)</f>
        <v>86</v>
      </c>
      <c r="S13">
        <f>IF(J_V="SI",0,Datos!AI13)</f>
        <v>120</v>
      </c>
      <c r="T13">
        <f>IF(J_V="SI",0,Datos!AJ13)</f>
        <v>161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0.5390625</v>
      </c>
      <c r="E16" s="348">
        <f>IF(ISNUMBER(
   IF(D_I="SI",(Datos!J16-Datos!T16)/Datos!T16,(Datos!J16+Datos!AD16-(Datos!T16+Datos!AL16))/(Datos!T16+Datos!AL16))
     ),IF(D_I="SI",(Datos!J16-Datos!T16)/Datos!T16,(Datos!J16+Datos!AD16-(Datos!T16+Datos!AL16))/(Datos!T16+Datos!AL16))," - ")</f>
        <v>-0.14925373134328357</v>
      </c>
      <c r="F16" s="348">
        <f>IF(ISNUMBER(
   IF(D_I="SI",(Datos!K16-Datos!U16)/Datos!U16,(Datos!K16+Datos!AE16-(Datos!U16+Datos!AM16))/(Datos!U16+Datos!AM16))
     ),IF(D_I="SI",(Datos!K16-Datos!U16)/Datos!U16,(Datos!K16+Datos!AE16-(Datos!U16+Datos!AM16))/(Datos!U16+Datos!AM16))," - ")</f>
        <v>-0.50767263427109977</v>
      </c>
      <c r="G16" s="349">
        <f>IF(ISNUMBER(
   IF(D_I="SI",(Datos!L16-Datos!V16)/Datos!V16,(Datos!L16+Datos!AF16-(Datos!V16+Datos!AN16))/(Datos!V16+Datos!AN16))
     ),IF(D_I="SI",(Datos!L16-Datos!V16)/Datos!V16,(Datos!L16+Datos!AF16-(Datos!V16+Datos!AN16))/(Datos!V16+Datos!AN16))," - ")</f>
        <v>0.67384615384615387</v>
      </c>
      <c r="H16" s="230">
        <f>IF(ISNUMBER((Datos!M16-Datos!W16)/Datos!W16),(Datos!M16-Datos!W16)/Datos!W16," - ")</f>
        <v>-0.35514018691588783</v>
      </c>
      <c r="I16" s="350">
        <f>IF(ISNUMBER((Tasas!C16-Datos!BE16)/Datos!BE16),(Tasas!C16-Datos!BE16)/Datos!BE16," - ")</f>
        <v>2.3998641358641359</v>
      </c>
      <c r="J16" s="349">
        <f>IF(ISNUMBER((Tasas!D16-Datos!BF16)/Datos!BF16),(Tasas!D16-Datos!BF16)/Datos!BF16," - ")</f>
        <v>0.3098191528098071</v>
      </c>
      <c r="K16" s="351">
        <f>IF(ISNUMBER((Tasas!E16-Datos!BG16)/Datos!BG16),(Tasas!E16-Datos!BG16)/Datos!BG16," - ")</f>
        <v>1.6201824764350732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-0.18181818181818182</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-0.19277108433734941</v>
      </c>
      <c r="H17" s="230">
        <f>IF(ISNUMBER((Datos!M17-Datos!W17)/Datos!W17),(Datos!M17-Datos!W17)/Datos!W17," - ")</f>
        <v>-0.66666666666666663</v>
      </c>
      <c r="I17" s="350">
        <f>IF(ISNUMBER((Tasas!C17-Datos!BE17)/Datos!BE17),(Tasas!C17-Datos!BE17)/Datos!BE17," - ")</f>
        <v>-0.19277108433734944</v>
      </c>
      <c r="J17" s="349">
        <f>IF(ISNUMBER((Tasas!D17-Datos!BF17)/Datos!BF17),(Tasas!D17-Datos!BF17)/Datos!BF17," - ")</f>
        <v>-0.66666666666666663</v>
      </c>
      <c r="K17" s="351">
        <f>IF(ISNUMBER((Tasas!E17-Datos!BG17)/Datos!BG17),(Tasas!E17-Datos!BG17)/Datos!BG17," - ")</f>
        <v>-0.18181818181818185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v>
      </c>
      <c r="E18" s="354">
        <f>IF(ISNUMBER(
   IF(D_I="SI",(Datos!J18-Datos!T18)/Datos!T18,(Datos!J18+Datos!AD18-(Datos!T18+Datos!AL18))/(Datos!T18+Datos!AL18))
     ),IF(D_I="SI",(Datos!J18-Datos!T18)/Datos!T18,(Datos!J18+Datos!AD18-(Datos!T18+Datos!AL18))/(Datos!T18+Datos!AL18))," - ")</f>
        <v>-0.14925373134328357</v>
      </c>
      <c r="F18" s="354">
        <f>IF(ISNUMBER(
   IF(D_I="SI",(Datos!K18-Datos!U18)/Datos!U18,(Datos!K18+Datos!AE18-(Datos!U18+Datos!AM18))/(Datos!U18+Datos!AM18))
     ),IF(D_I="SI",(Datos!K18-Datos!U18)/Datos!U18,(Datos!K18+Datos!AE18-(Datos!U18+Datos!AM18))/(Datos!U18+Datos!AM18))," - ")</f>
        <v>-0.50444726810673446</v>
      </c>
      <c r="G18" s="355">
        <f>IF(ISNUMBER(
   IF(D_I="SI",(Datos!L18-Datos!V18)/Datos!V18,(Datos!L18+Datos!AF18-(Datos!V18+Datos!AN18))/(Datos!V18+Datos!AN18))
     ),IF(D_I="SI",(Datos!L18-Datos!V18)/Datos!V18,(Datos!L18+Datos!AF18-(Datos!V18+Datos!AN18))/(Datos!V18+Datos!AN18))," - ")</f>
        <v>0.63173302107728335</v>
      </c>
      <c r="H18" s="356">
        <f>IF(ISNUMBER((Datos!M18-Datos!W18)/Datos!W18),(Datos!M18-Datos!W18)/Datos!W18," - ")</f>
        <v>-0.36363636363636365</v>
      </c>
      <c r="I18" s="357">
        <f>IF(ISNUMBER((Tasas!C18-Datos!BE18)/Datos!BE18),(Tasas!C18-Datos!BE18)/Datos!BE18," - ")</f>
        <v>2.2927535579174925</v>
      </c>
      <c r="J18" s="355">
        <f>IF(ISNUMBER((Tasas!D18-Datos!BF18)/Datos!BF18),(Tasas!D18-Datos!BF18)/Datos!BF18," - ")</f>
        <v>0.28414918414918411</v>
      </c>
      <c r="K18" s="358">
        <f>IF(ISNUMBER((Tasas!E18-Datos!BG18)/Datos!BG18),(Tasas!E18-Datos!BG18)/Datos!BG18," - ")</f>
        <v>1.5695483274240791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0.33247108947048082</v>
      </c>
      <c r="E19" s="363">
        <f>IF(ISNUMBER(
   IF(J_V="SI",(Datos!J19-Datos!T19)/Datos!T19,(Datos!J19+Datos!Z19-(Datos!T19+Datos!AH19))/(Datos!T19+Datos!AH19))
     ),IF(J_V="SI",(Datos!J19-Datos!T19)/Datos!T19,(Datos!J19+Datos!Z19-(Datos!T19+Datos!AH19))/(Datos!T19+Datos!AH19))," - ")</f>
        <v>-0.12577123872804935</v>
      </c>
      <c r="F19" s="363">
        <f>IF(ISNUMBER(
   IF(J_V="SI",(Datos!K19-Datos!U19)/Datos!U19,(Datos!K19+Datos!AA19-(Datos!U19+Datos!AI19))/(Datos!U19+Datos!AI19))
     ),IF(J_V="SI",(Datos!K19-Datos!U19)/Datos!U19,(Datos!K19+Datos!AA19-(Datos!U19+Datos!AI19))/(Datos!U19+Datos!AI19))," - ")</f>
        <v>-0.2332955832389581</v>
      </c>
      <c r="G19" s="364">
        <f>IF(ISNUMBER(
   IF(J_V="SI",(Datos!L19-Datos!V19)/Datos!V19,(Datos!L19+Datos!AB19-(Datos!V19+Datos!AJ19))/(Datos!V19+Datos!AJ19))
     ),IF(J_V="SI",(Datos!L19-Datos!V19)/Datos!V19,(Datos!L19+Datos!AB19-(Datos!V19+Datos!AJ19))/(Datos!V19+Datos!AJ19))," - ")</f>
        <v>0.33733545493996819</v>
      </c>
      <c r="H19" s="365">
        <f>IF(ISNUMBER((Datos!M19-Datos!W19)/Datos!W19),(Datos!M19-Datos!W19)/Datos!W19," - ")</f>
        <v>-0.44374999999999998</v>
      </c>
      <c r="I19" s="362">
        <f>IF(ISNUMBER((Tasas!C19-Datos!BE19)/Datos!BE19),(Tasas!C19-Datos!BE19)/Datos!BE19," - ")</f>
        <v>0.74426470710781678</v>
      </c>
      <c r="J19" s="363">
        <f>IF(ISNUMBER((Tasas!D19-Datos!BF19)/Datos!BF19),(Tasas!D19-Datos!BF19)/Datos!BF19," - ")</f>
        <v>-0.16488315994176594</v>
      </c>
      <c r="K19" s="364">
        <f>IF(ISNUMBER((Tasas!E19-Datos!BG19)/Datos!BG19),(Tasas!E19-Datos!BG19)/Datos!BG19," - ")</f>
        <v>0.59282197490912969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0.36640413909034986</v>
      </c>
      <c r="E21" s="278">
        <f t="shared" si="1"/>
        <v>0</v>
      </c>
      <c r="F21" s="278">
        <f t="shared" si="1"/>
        <v>0.29217829969472398</v>
      </c>
      <c r="G21" s="279">
        <f t="shared" si="1"/>
        <v>0.41508555388618112</v>
      </c>
      <c r="H21" s="285">
        <f t="shared" si="1"/>
        <v>0.12631599479821384</v>
      </c>
      <c r="I21" s="277">
        <f t="shared" si="1"/>
        <v>1.2396697794842113</v>
      </c>
      <c r="J21" s="278">
        <f t="shared" si="1"/>
        <v>0.43204150240842598</v>
      </c>
      <c r="K21" s="279">
        <f t="shared" si="1"/>
        <v>0.84292798123483392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E9M3nKBde9ldtk9V6g4YEpb/tXL2tYct+4tdSfkU9eXLTdTN697ZNL554jvyVgYHmvDkEnbcKDzziLrB5ebBw==" saltValue="glDlhSpckpFFZ/teGl0l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